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7770" activeTab="0"/>
  </bookViews>
  <sheets>
    <sheet name="iepirkums" sheetId="1" r:id="rId1"/>
    <sheet name="tame var buvuzraug" sheetId="2" r:id="rId2"/>
  </sheets>
  <definedNames/>
  <calcPr fullCalcOnLoad="1"/>
</workbook>
</file>

<file path=xl/sharedStrings.xml><?xml version="1.0" encoding="utf-8"?>
<sst xmlns="http://schemas.openxmlformats.org/spreadsheetml/2006/main" count="1343" uniqueCount="487">
  <si>
    <t>Nr.p.k.</t>
  </si>
  <si>
    <t>Darba   nosaukums</t>
  </si>
  <si>
    <t>1.1.</t>
  </si>
  <si>
    <t>m</t>
  </si>
  <si>
    <t>m2</t>
  </si>
  <si>
    <t>Notekcauruļu  un tekņu nojaukšana</t>
  </si>
  <si>
    <t>m3</t>
  </si>
  <si>
    <t>m²</t>
  </si>
  <si>
    <t>gab</t>
  </si>
  <si>
    <t>1.2.</t>
  </si>
  <si>
    <t>gab.</t>
  </si>
  <si>
    <t>1.3.</t>
  </si>
  <si>
    <t>Veco koka logu bloku nomaiņa pret PVC tipa logiem</t>
  </si>
  <si>
    <t>Durvju aplodu uzstādīšana</t>
  </si>
  <si>
    <t>1.4.</t>
  </si>
  <si>
    <t>Esošās sienas virsmas attīrīšana</t>
  </si>
  <si>
    <t>līmjava</t>
  </si>
  <si>
    <t>kg</t>
  </si>
  <si>
    <t>armējuma  java</t>
  </si>
  <si>
    <t>stikla šķiedras  siets</t>
  </si>
  <si>
    <t>stūra  šina  ar  sietu</t>
  </si>
  <si>
    <t xml:space="preserve">Fasāžu  dekoratīvā  apmešana  </t>
  </si>
  <si>
    <t>dekoratīvais  apmetums</t>
  </si>
  <si>
    <t>grunts</t>
  </si>
  <si>
    <t>l</t>
  </si>
  <si>
    <t>Apmesto  fasāžu  gruntēšana, krāsošana</t>
  </si>
  <si>
    <t>Lāseņa  uzstādīšana  pa  cokola  perimetru</t>
  </si>
  <si>
    <t>lāsenis</t>
  </si>
  <si>
    <t>Durvju un logu ailu ārējā apdare</t>
  </si>
  <si>
    <t>akmens vate FAB 3  b = 30 mm biezumā</t>
  </si>
  <si>
    <t xml:space="preserve"> </t>
  </si>
  <si>
    <t>1.5.</t>
  </si>
  <si>
    <t>Cokola  daļas  ar mitrumu necaurlaidošu putupolistirolu siltināšana  pa  ēkas  perimetru</t>
  </si>
  <si>
    <t>kokmateriāli</t>
  </si>
  <si>
    <t>1.6.</t>
  </si>
  <si>
    <t>1.</t>
  </si>
  <si>
    <t>dībeļi fasādes siltināšanai ar metāla naglām</t>
  </si>
  <si>
    <t>1.7.</t>
  </si>
  <si>
    <t>1.9.</t>
  </si>
  <si>
    <t>1.10.</t>
  </si>
  <si>
    <t>1.11.</t>
  </si>
  <si>
    <t>1.12.</t>
  </si>
  <si>
    <t>2.</t>
  </si>
  <si>
    <t>2.1.</t>
  </si>
  <si>
    <t>2.2.</t>
  </si>
  <si>
    <t>Pamatu atrakšana ar roku darbu un ekskavatoru gar cokola sienām pa ēku perimetru un aizbēršana, blietējot ik pa 25 cm</t>
  </si>
  <si>
    <t>2.3.</t>
  </si>
  <si>
    <t>2.4.</t>
  </si>
  <si>
    <t xml:space="preserve">Pamatu vertikāla hidroizolācija 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</si>
  <si>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</si>
  <si>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</si>
  <si>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</si>
  <si>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</si>
  <si>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</si>
  <si>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</si>
  <si>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</si>
  <si>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</si>
  <si>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</si>
  <si>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</si>
  <si>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</si>
  <si>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</si>
  <si>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</si>
  <si>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</si>
  <si>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</si>
  <si>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</si>
  <si>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</si>
  <si>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</si>
  <si>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</si>
  <si>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</si>
  <si>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Logu ailu apdare - apmešana, slīpēšana, gruntēšana, krāsošana</t>
  </si>
  <si>
    <t>6.</t>
  </si>
  <si>
    <t>6.1.</t>
  </si>
  <si>
    <t>6.2.</t>
  </si>
  <si>
    <t>Durvju ailu apdare - apmešana, slīpēšana, gruntēšana, krāsošana</t>
  </si>
  <si>
    <t>8.</t>
  </si>
  <si>
    <t>obj.</t>
  </si>
  <si>
    <t>10.</t>
  </si>
  <si>
    <t>Skārda palodžu demontāža esošai ēkai</t>
  </si>
  <si>
    <t>1.8.</t>
  </si>
  <si>
    <t>1.13.</t>
  </si>
  <si>
    <t>3.5.</t>
  </si>
  <si>
    <t xml:space="preserve"> Dažādi darbi</t>
  </si>
  <si>
    <t>Informatīvā stenda uzstādīšana</t>
  </si>
  <si>
    <t>Demontāžas  darbi</t>
  </si>
  <si>
    <t>Cokola apmetuma demontāža</t>
  </si>
  <si>
    <t xml:space="preserve"> 3.</t>
  </si>
  <si>
    <t>3.6.</t>
  </si>
  <si>
    <t>3.7.</t>
  </si>
  <si>
    <t>3.8.</t>
  </si>
  <si>
    <t>Jumta virsmas attīrīšana no netīrumiem un gružiem</t>
  </si>
  <si>
    <t>Tvaika izolācijas plēves ieklāšana</t>
  </si>
  <si>
    <t>Pamatnes gruntēšana ar bituma mastiku</t>
  </si>
  <si>
    <t>4.7.</t>
  </si>
  <si>
    <t>7.</t>
  </si>
  <si>
    <t>7.1.</t>
  </si>
  <si>
    <t>8.1.</t>
  </si>
  <si>
    <t>8.2.</t>
  </si>
  <si>
    <t>7.2.</t>
  </si>
  <si>
    <t>Ēkas numurzīmes noņemšana</t>
  </si>
  <si>
    <t>Karoga turētāja noņemšana</t>
  </si>
  <si>
    <t>Jumta skārda  parapetu demontāža</t>
  </si>
  <si>
    <t>Demontēto elementu utilizācija</t>
  </si>
  <si>
    <t>2.11.</t>
  </si>
  <si>
    <t>2.12.</t>
  </si>
  <si>
    <t>4.8.</t>
  </si>
  <si>
    <t>Izejas lūku uz jumta nomaiņa  ( siltināta )</t>
  </si>
  <si>
    <t>4.9.</t>
  </si>
  <si>
    <t>siltinātu bēniņu lūku 600 x 800, ugunsdrošības pakapei EI 30</t>
  </si>
  <si>
    <t>līme</t>
  </si>
  <si>
    <t>9.4.</t>
  </si>
  <si>
    <t xml:space="preserve">Skārda   apšuvums pa  jumtiņu perimetru  </t>
  </si>
  <si>
    <t>Karogu turētāja ierīkošana</t>
  </si>
  <si>
    <t>Objekta, sakopšana, tīrīšna</t>
  </si>
  <si>
    <t>kpl</t>
  </si>
  <si>
    <t>Komunikāciju demontāža no sienām (elektrības skapji, gaismekļi utt.)</t>
  </si>
  <si>
    <t xml:space="preserve">Materiālu pacelšana uz un no ēkas </t>
  </si>
  <si>
    <t>m.st.</t>
  </si>
  <si>
    <t xml:space="preserve"> Ārējo palodžu  montāžā </t>
  </si>
  <si>
    <t>bal.</t>
  </si>
  <si>
    <t>montāžas profesionālās  putas</t>
  </si>
  <si>
    <t>skrūves</t>
  </si>
  <si>
    <t>2.13.</t>
  </si>
  <si>
    <t>2.14.</t>
  </si>
  <si>
    <t>2.15.</t>
  </si>
  <si>
    <t>3.9.</t>
  </si>
  <si>
    <t>palīgmateriāli</t>
  </si>
  <si>
    <t>4.10.</t>
  </si>
  <si>
    <t>Stiprinājuma elemetni</t>
  </si>
  <si>
    <t>Blīvējuma materiāli</t>
  </si>
  <si>
    <t>Palodžu montāža, ēkas iekšpusē</t>
  </si>
  <si>
    <t>iekšējā MDF palodze</t>
  </si>
  <si>
    <t>8.3.</t>
  </si>
  <si>
    <t>Apmetuma uz metāla sieta ierīkošana ieejas mezglu griestiem, krāsošana</t>
  </si>
  <si>
    <t>Numerācijas zīmju montāža</t>
  </si>
  <si>
    <t>Komunikāciju montāža (elektrības skapji, antenas, gaismkeļi utt.)</t>
  </si>
  <si>
    <t>9.</t>
  </si>
  <si>
    <t>7.3.</t>
  </si>
  <si>
    <t>7.4.</t>
  </si>
  <si>
    <t>9.1.</t>
  </si>
  <si>
    <t>9.2.</t>
  </si>
  <si>
    <t>9.3.</t>
  </si>
  <si>
    <t>9.5.</t>
  </si>
  <si>
    <t>9.6.</t>
  </si>
  <si>
    <t>9.7.</t>
  </si>
  <si>
    <t>9.8.</t>
  </si>
  <si>
    <t>9.9.</t>
  </si>
  <si>
    <t>9.10.</t>
  </si>
  <si>
    <t>9.11.</t>
  </si>
  <si>
    <t>Ventilācijas kanālu tīrīšana</t>
  </si>
  <si>
    <t>4.12.</t>
  </si>
  <si>
    <t>Demontēt esošos koka durvju  blokus</t>
  </si>
  <si>
    <t>Lodžiju azbesta lokšņu apšuvumu demontāža  un  izvešana utilizācijai</t>
  </si>
  <si>
    <t>Balkonu stiklojumu  demontāža</t>
  </si>
  <si>
    <t>Balkonu un  pagraba logu  aizsargrežģu demontāža</t>
  </si>
  <si>
    <t>Ruļļmateriālu jumta seguma  nojaukšna   un  izvešana utilizācijai</t>
  </si>
  <si>
    <t>1.14.</t>
  </si>
  <si>
    <t>1.15.</t>
  </si>
  <si>
    <t>1.16.</t>
  </si>
  <si>
    <t>metāla siets 200x200</t>
  </si>
  <si>
    <t>stiprinājumi</t>
  </si>
  <si>
    <t>apmetuma sastāvs</t>
  </si>
  <si>
    <t>Sienu šuvju remonts</t>
  </si>
  <si>
    <t>t.m.</t>
  </si>
  <si>
    <t>cietā akmens vate  Paroc FAS 4   b = 50 mm vai analogs</t>
  </si>
  <si>
    <t xml:space="preserve"> krāsa fasādei</t>
  </si>
  <si>
    <t>Paroc FAL 1 ( lamella) 120 mm</t>
  </si>
  <si>
    <t>gruntskrāsa</t>
  </si>
  <si>
    <t>krāsa</t>
  </si>
  <si>
    <t xml:space="preserve">ārējo palodzes logiem (rūpnieciski krāsots tērauda skārds. ) 200 mm </t>
  </si>
  <si>
    <t>hidroizolācijas slānis zem palodzes</t>
  </si>
  <si>
    <t>hidroizolācijas lenta</t>
  </si>
  <si>
    <t>Skārda  lāseņa  uzstādīšana  3.st.   balkonu  griestiem</t>
  </si>
  <si>
    <t>Esošo balkonu norobež. m/k k-ciju attīrīšana, remonts un krāsošana (karkass)</t>
  </si>
  <si>
    <t>attīrīšanas līdzeklis</t>
  </si>
  <si>
    <t>GF-021 grunts</t>
  </si>
  <si>
    <t>antikorozijas krāsojums</t>
  </si>
  <si>
    <t xml:space="preserve">palīgmateriāli </t>
  </si>
  <si>
    <t>Latojuma  izbūve  balkonu  nožogojumiem</t>
  </si>
  <si>
    <t xml:space="preserve">Balkonu margu apšuvumu montāža </t>
  </si>
  <si>
    <t>siena skārda profils AP-20 0,5 mm (rūpnieciski krāsots skārds)</t>
  </si>
  <si>
    <t>Lodžiju nosegskārda palodžu  montāža</t>
  </si>
  <si>
    <t>rūpnieciski krāsots skārds</t>
  </si>
  <si>
    <t>2.16.</t>
  </si>
  <si>
    <t>Lodžiju griestu izlīdzināšana  ar  apmetumu</t>
  </si>
  <si>
    <t>2.17.</t>
  </si>
  <si>
    <t>Lodžiju  griestu  gruntēšana, krāsošana</t>
  </si>
  <si>
    <t>2.18.</t>
  </si>
  <si>
    <t>Hidroizolējoša pārklājuma izveidošana uz balkona grīdas</t>
  </si>
  <si>
    <t>2.19.</t>
  </si>
  <si>
    <t>Lietus ūdens noteku un tekņu montāža</t>
  </si>
  <si>
    <t xml:space="preserve"> teknes ar palīgelementiem</t>
  </si>
  <si>
    <t xml:space="preserve"> notekas ar palīgelementiem</t>
  </si>
  <si>
    <t>Sastatņu ar aizsargtīklu un jumtiņu  montāža un demontāža</t>
  </si>
  <si>
    <t xml:space="preserve">sastatņu īre </t>
  </si>
  <si>
    <t>Cokola sienu apmetums  pa sietu</t>
  </si>
  <si>
    <t>Cokola  sienu krāsošana</t>
  </si>
  <si>
    <t xml:space="preserve">Ēkas apmales izbūve no bruģa </t>
  </si>
  <si>
    <t>Jumta pārseguma siltināšana  200 mm biezumā,  akmens vates  λ =&lt; 0,04 W/(m2*K), tvaika un hidroizolācijas slāņa uzklāšana</t>
  </si>
  <si>
    <t>Cementa javas izlīdzinošās kārtas 20 mm biezumā izbūve</t>
  </si>
  <si>
    <t xml:space="preserve">Siltumizolācijas ierīkošana ar Paroc ROS 30g  </t>
  </si>
  <si>
    <t xml:space="preserve">jumta siltumizolācija ar ventilacijas rievam no akmens vates ROS 30g 180 mm </t>
  </si>
  <si>
    <t xml:space="preserve">Cietās siltumizolācijas virskārtas plātnes ierīkošana </t>
  </si>
  <si>
    <t>akmens vate ROB 60 20 mm biezumā</t>
  </si>
  <si>
    <t>apakšklājs</t>
  </si>
  <si>
    <t>virsklājs</t>
  </si>
  <si>
    <t xml:space="preserve">Jumta dzegas ierīkošana </t>
  </si>
  <si>
    <t>Termoprofiļu Z-180 montāža</t>
  </si>
  <si>
    <t>termoprofils Z-180 b=2 mm, l=1,5 m</t>
  </si>
  <si>
    <t>metāla lenķīši</t>
  </si>
  <si>
    <t>Metāla U-profilu stiprināšana pie Z profiliem</t>
  </si>
  <si>
    <t>U profils b=2 mm. H-180 mm</t>
  </si>
  <si>
    <t xml:space="preserve">Dzegas  apšuvums ar mitrimizturīgām  finiera  plātnēm  20 mm biezumā </t>
  </si>
  <si>
    <t>mitrumizturīgais finieris  20 mm biezumā</t>
  </si>
  <si>
    <t>Stiprinājumi</t>
  </si>
  <si>
    <t>Dzegas hidroizolācija</t>
  </si>
  <si>
    <t xml:space="preserve">Jumta lāseņu montāža  </t>
  </si>
  <si>
    <t xml:space="preserve">lāsenis  (rūpnieciski krāsots  skārds) </t>
  </si>
  <si>
    <t>4.13.</t>
  </si>
  <si>
    <t>Parapetu montāža</t>
  </si>
  <si>
    <t xml:space="preserve">mitrumizturīgais finieris </t>
  </si>
  <si>
    <t>montāžas materiāli</t>
  </si>
  <si>
    <t>4.14.</t>
  </si>
  <si>
    <t>Ventilācijas izvadu aprīkošana ar skārda jumtiņiem</t>
  </si>
  <si>
    <t>Skārda jumtiņi</t>
  </si>
  <si>
    <t>4.15.</t>
  </si>
  <si>
    <t>Jumta vēdinšānas kanālu remonts  un apdare (apmetums uz metāla sieta, krāsots)</t>
  </si>
  <si>
    <t>4.16.</t>
  </si>
  <si>
    <t>Antenas izvadu montāža</t>
  </si>
  <si>
    <t>antenas izvads</t>
  </si>
  <si>
    <t>4.17.</t>
  </si>
  <si>
    <t>Airatoru montāža</t>
  </si>
  <si>
    <t>4.18.</t>
  </si>
  <si>
    <t>4.19.</t>
  </si>
  <si>
    <t>Pielaiduma pie sienas montāža</t>
  </si>
  <si>
    <t xml:space="preserve">m </t>
  </si>
  <si>
    <t>4.20.</t>
  </si>
  <si>
    <t>Cilvēku drošības barjera remonts un montāža</t>
  </si>
  <si>
    <t>4.21.</t>
  </si>
  <si>
    <t>Zibensaizsardzības  ierīkošana</t>
  </si>
  <si>
    <t>PVC konstrukcijas logi</t>
  </si>
  <si>
    <t xml:space="preserve">Koka  durvju  bloku nomaiņa  </t>
  </si>
  <si>
    <t>durvju bloks  D-2: 1000 x 2100 (h)</t>
  </si>
  <si>
    <t xml:space="preserve">Iekšējo koka  durvju  bloku  uzstādīšana </t>
  </si>
  <si>
    <t>koka durvju bloks    D-1 1500 x 21000 (h)</t>
  </si>
  <si>
    <t>8.4.</t>
  </si>
  <si>
    <t>Durvju aizvēršanās mehānismi kāpņu telpas durvīm</t>
  </si>
  <si>
    <t>8.5.</t>
  </si>
  <si>
    <t>8.6.</t>
  </si>
  <si>
    <t>Aizslēgšanas mehānisms pagraba telpas durvīm</t>
  </si>
  <si>
    <t>8.7.</t>
  </si>
  <si>
    <t>Ieejas kāpņu pakāpienu  un laukumu izlīdzināšana ar ārējo darbu remontjavu (precizēt autoruzraudzības kārtībā)</t>
  </si>
  <si>
    <t>Ieejas  mezglu  jumtiņu tīrīšana un  līdzināšana</t>
  </si>
  <si>
    <t xml:space="preserve">Ieejas  jumtiņu  apdare </t>
  </si>
  <si>
    <t>Pāgraba   padzilinājumu  remonts</t>
  </si>
  <si>
    <t>Veco koka logu bloku nomaiņa pret PVC tipa logiem pagrabā</t>
  </si>
  <si>
    <t>Logu ailu apdare - apmešana, slīpēšana, gruntēšana, krāsošana pagrabā</t>
  </si>
  <si>
    <t>Pagraba logu aizsargrežģu tīrīšana ,cinkošana, krāsošana un uzstādīšana</t>
  </si>
  <si>
    <t>Būvlaukumu aprīkošana</t>
  </si>
  <si>
    <t>Celtniecības žogs, 3 mēneši</t>
  </si>
  <si>
    <t>Ugunsdzēsības stenda uzstādīšana</t>
  </si>
  <si>
    <t>Konteineru atvēšana</t>
  </si>
  <si>
    <t>Tualetes īre un apkalpošana divas reizes mēnesī</t>
  </si>
  <si>
    <t xml:space="preserve">Fasāžu  apšūšana  ar  akmens vati b=50 mm un b=100 mm, armēšana </t>
  </si>
  <si>
    <t>cietā akmens vate  Paroc FAS 4  b = 100 mm vai analogs</t>
  </si>
  <si>
    <t xml:space="preserve">Fasādes  un gala  sienu siltināšana ar cieto akmens vati 100 mm ar dekoratīvo apmetumu,  siltumvadības koeficients λ ≤ 0.045W/(m·k) . Lodžiju izbīdījumu (lodžiju starpsienu) siltināšana ar 50 mm cieto akmens vati. Logu aiļu  un palodžu siltināšana ar 30/50 mm vati.  </t>
  </si>
  <si>
    <t>Cokola stāva (pamatu) siltināšana ar  80 mm ekstrudēto putupolistirolu 600mm dziļumā pa perimetru ar dekoratīvo apmetumu visam ēkas perimetram , kā arī apmales atjaunošana pa perimetru, putupolistirola  siltumvadības koef. λ =&lt; 0,05 W/(m2*K),</t>
  </si>
  <si>
    <t>stiprinājumi ( peldošie dībeli - 5kg/m2, sk. AR-6, P-01)</t>
  </si>
  <si>
    <t>Durvju bloka nomaiņa pret metāla tipa durvīm pagrabā</t>
  </si>
  <si>
    <t>7.5.</t>
  </si>
  <si>
    <t>7.6.</t>
  </si>
  <si>
    <t>Kāpņu telpu kosmētiskais remonts , grīdas  flīzēšana, sienu krāsošana, kāpņu laidu un margu remonts ( 1.stāvs)</t>
  </si>
  <si>
    <t>Esošās grīdas slīpēšana</t>
  </si>
  <si>
    <t>Esošās grīdas un kāpņu pakāpienu  izlīdzināšana ar Vetonīta sastāvu un krāsošana</t>
  </si>
  <si>
    <t>Kajslauķu nomaiņa</t>
  </si>
  <si>
    <t>Konteinera tipa vagoniņu īre- 3 mēn.</t>
  </si>
  <si>
    <t>Caurumu  kalšana  katrā dzīvoklī virtuvē</t>
  </si>
  <si>
    <t>Trokšņu  slāpētāja  ar tīrāmu putekļu filtru  uzstādīšana</t>
  </si>
  <si>
    <t>Āra metāla  restu  150*150  uzstādīšana</t>
  </si>
  <si>
    <t>Apmetuma izveide-pārrīvēšana griestos.</t>
  </si>
  <si>
    <t>Virsmas sagatavošana krāsošanai.</t>
  </si>
  <si>
    <t>Emulsijas krāsojums pa sagatavotām virsmām griestos</t>
  </si>
  <si>
    <t>Apmetuma izveide sienām</t>
  </si>
  <si>
    <t>Virsmu sagatavošana krāsošanai.</t>
  </si>
  <si>
    <t xml:space="preserve">Sienu virsmu krāsošana </t>
  </si>
  <si>
    <t>8.8.</t>
  </si>
  <si>
    <t>8.9.</t>
  </si>
  <si>
    <t>8.10.</t>
  </si>
  <si>
    <t>8.11.</t>
  </si>
  <si>
    <t>Dzelzsbetona pakāpienu galu apdare ar apmešanu, špaktelēšanu un krāsošanu ar emulsijas krāsu</t>
  </si>
  <si>
    <t>8.12.</t>
  </si>
  <si>
    <t>Kāpņu margu remonts (1 - 3.st.)</t>
  </si>
  <si>
    <t>9.12.</t>
  </si>
  <si>
    <t>9.13.</t>
  </si>
  <si>
    <t>9.14.</t>
  </si>
  <si>
    <t>9.15.</t>
  </si>
  <si>
    <t>9.16.</t>
  </si>
  <si>
    <t>Betona  apmales  nojaukšana pa  ēkas  perimetru</t>
  </si>
  <si>
    <t>Demontēt esošos koka rāmju  logus</t>
  </si>
  <si>
    <t>Plaisu un citu virsmas defektu izlabošana ar javu, kas sagatavota no smilšu polimērcementa maisījuma</t>
  </si>
  <si>
    <t xml:space="preserve">cokola profils 120 mm </t>
  </si>
  <si>
    <t>cietā akmens vate</t>
  </si>
  <si>
    <t>impregnētas koka latas 38*100 mm</t>
  </si>
  <si>
    <t>Remmers Epoxy BS 3000 vai analogs</t>
  </si>
  <si>
    <t>Liekas grunts iekraušana automašīnās un transportēšana 10 km attālumā</t>
  </si>
  <si>
    <t>Jumta seguma izveidošana no ruļļu materiāla 2 kārtās, uzkausējot ar gāzes degli</t>
  </si>
  <si>
    <t xml:space="preserve">rūpnieciski krāsots skārds </t>
  </si>
  <si>
    <t>2.5.</t>
  </si>
  <si>
    <t xml:space="preserve">Uzlabojumi siltuma apgādes sistēmā – esošo siltuma sadales cauruļu, t sk. stāvvadu nomaiņa pret jaunām rūpnieciski izolētām caurulēm (izolācijas siltumvadības koeficients λ ≤  0.045 W/(m·k) ).  </t>
  </si>
  <si>
    <t>11.</t>
  </si>
  <si>
    <t>Siltummezgla rekonstrukcijas darbi</t>
  </si>
  <si>
    <t>12.</t>
  </si>
  <si>
    <t>12.1.</t>
  </si>
  <si>
    <t>12.2.</t>
  </si>
  <si>
    <t>12.3.</t>
  </si>
  <si>
    <t>12.4.</t>
  </si>
  <si>
    <t>12.5.</t>
  </si>
  <si>
    <t>12.6.</t>
  </si>
  <si>
    <t>12.7.</t>
  </si>
  <si>
    <t>Pasūtītājs : SIA "Baložu komunālā saimniecība"</t>
  </si>
  <si>
    <t xml:space="preserve">Būves nosaukums: „Daudzdzīvokļu māju siltumnoturības uzlabošanas pasākumi Rīgas ielā 18, Baložos” </t>
  </si>
  <si>
    <t xml:space="preserve">Objekta nosaukums: „Daudzdzīvokļu māju siltumnoturības uzlabošanas pasākumi Rīgas ielā 18, Baložos” </t>
  </si>
  <si>
    <t>Objekta adrese :  Rīgas iela 18, Baloži</t>
  </si>
  <si>
    <t>Mērvienība</t>
  </si>
  <si>
    <t>Daudzums</t>
  </si>
  <si>
    <t xml:space="preserve">Vienības izmaksas </t>
  </si>
  <si>
    <t xml:space="preserve">Kopā uz visu apjomu  </t>
  </si>
  <si>
    <t>laika norma (c/st)</t>
  </si>
  <si>
    <t>darba samaksas likme (Ls/st)</t>
  </si>
  <si>
    <t>darba alga (Ls)</t>
  </si>
  <si>
    <t>materiāli (Ls)</t>
  </si>
  <si>
    <t>mahānismi  (Ls)</t>
  </si>
  <si>
    <t>Kopā  (Ls)</t>
  </si>
  <si>
    <t>darbietilpība  ( c/st)</t>
  </si>
  <si>
    <t>Materiāli  (Ls)</t>
  </si>
  <si>
    <t>mehānismi  (Ls)</t>
  </si>
  <si>
    <t>SUMMA  (Ls)</t>
  </si>
  <si>
    <t>Kopā:</t>
  </si>
  <si>
    <t>Kopā :</t>
  </si>
  <si>
    <t>Kopā pa sadaļām:</t>
  </si>
  <si>
    <t>Materiālu, grunts apmaiņas un būvgružu transporta izdevumi</t>
  </si>
  <si>
    <t>Tiešās izmaksas kopā :</t>
  </si>
  <si>
    <t>Pieskaitāmas izmaksas:</t>
  </si>
  <si>
    <t>Planotā peļņa:</t>
  </si>
  <si>
    <t>Soc.nodoklis no darba algas:</t>
  </si>
  <si>
    <t>Izpildīts iepriekšējos atskaites periodos</t>
  </si>
  <si>
    <t>Atlikums (Ls)</t>
  </si>
  <si>
    <t>darba alga 
(Ls)</t>
  </si>
  <si>
    <t>materiāli 
(Ls)</t>
  </si>
  <si>
    <t>mehānismi 
(Ls)</t>
  </si>
  <si>
    <t>Summa
(Ls)</t>
  </si>
  <si>
    <t>Tāme Nr.1 Vispārējās pozicijas</t>
  </si>
  <si>
    <t>Garantijas un sastības</t>
  </si>
  <si>
    <t>Apdrošināšana</t>
  </si>
  <si>
    <t>Ģenerāluzņēmējs: SIA "ABAMA HOLDING"</t>
  </si>
  <si>
    <t>Ģenerāluzņēmējs</t>
  </si>
  <si>
    <t>Pasūtītājs</t>
  </si>
  <si>
    <t>SIA "Abama Holding"</t>
  </si>
  <si>
    <t xml:space="preserve">SIA "Baložu komunālā saimniecība"   </t>
  </si>
  <si>
    <t>Valdes locekle</t>
  </si>
  <si>
    <t>___________________________S.Stychinskaya</t>
  </si>
  <si>
    <t>Olita Krastiņa</t>
  </si>
  <si>
    <t>Līguma Vienošanās no 31.07.2012.g.</t>
  </si>
  <si>
    <t>t/m</t>
  </si>
  <si>
    <t>k-ts</t>
  </si>
  <si>
    <t>EPS 60 λ=0,039W/m*K b=100 mm</t>
  </si>
  <si>
    <t>EPS 60 λ=0,039W/m*K b=50 mm</t>
  </si>
  <si>
    <t>EPS 60 λ=0,039W/m*K  b = 30 mm biezumā</t>
  </si>
  <si>
    <t>EPS 60 λ=0,039W/m*K 120 mm</t>
  </si>
  <si>
    <t>EPS 60 λ=0,039W/m*K  b = 50 mm biezumā</t>
  </si>
  <si>
    <t>Papildarmēšana</t>
  </si>
  <si>
    <t>obj</t>
  </si>
  <si>
    <t>Jumta seguma siltināšana 200mm biezumā ar EPS 100 λ=0,037W/m*K 2 kārtās 100+80, papildus cietā virskārtas siltumizolācija 20mm.</t>
  </si>
  <si>
    <t xml:space="preserve">Jumta siltumizolācijas ierīkošana ar EPS 100 λ=0,037W/m*K 2 kārtās 100+80 </t>
  </si>
  <si>
    <t>Valdes prikšsedētāja</t>
  </si>
  <si>
    <t>Atskaites periodā izpildītais apjoms (2012. g. decembris)</t>
  </si>
  <si>
    <t xml:space="preserve">Esošā nesošā pārseguma virsmas attīrīšana </t>
  </si>
  <si>
    <t>Pārseguma gruntēšana</t>
  </si>
  <si>
    <t xml:space="preserve">Grunts </t>
  </si>
  <si>
    <t>Līme</t>
  </si>
  <si>
    <t>dībeļi</t>
  </si>
  <si>
    <t>montāžas putas</t>
  </si>
  <si>
    <t>Armējoša sieta uzklāšana</t>
  </si>
  <si>
    <t xml:space="preserve">armējošais siets </t>
  </si>
  <si>
    <t>stūra līstītes</t>
  </si>
  <si>
    <t>tm</t>
  </si>
  <si>
    <t>TĀME IEKĻAUTS NO TĀME IZSLĒGT</t>
  </si>
  <si>
    <t>2.8.1</t>
  </si>
  <si>
    <t xml:space="preserve"> 3.1</t>
  </si>
  <si>
    <t>3.1.1</t>
  </si>
  <si>
    <t>3.2.1</t>
  </si>
  <si>
    <t>3.3.1</t>
  </si>
  <si>
    <t>3.4.1</t>
  </si>
  <si>
    <t>3.5.1</t>
  </si>
  <si>
    <t>4.2.1</t>
  </si>
  <si>
    <t>4.14.1</t>
  </si>
  <si>
    <t>4.17.1</t>
  </si>
  <si>
    <t>9.7.1</t>
  </si>
  <si>
    <t>9.8.1</t>
  </si>
  <si>
    <t>9.9.1</t>
  </si>
  <si>
    <t>Siltumizolācija  ar putupolistirolu  100 mm biezumā</t>
  </si>
  <si>
    <t>Apmetums uz sieta</t>
  </si>
  <si>
    <t xml:space="preserve">Apmetums </t>
  </si>
  <si>
    <t>___________________________O.Krastiņa</t>
  </si>
  <si>
    <t>2.14.1</t>
  </si>
  <si>
    <t>2.11.1</t>
  </si>
  <si>
    <t>7.2.1</t>
  </si>
  <si>
    <t>Durvju bloka nomaiņa pret metāla tipa durvīm vējtverā</t>
  </si>
  <si>
    <t>Jumta lāseņu montāža +( Skārda  lāseņa  uzstādīšana  apkart vedināšanas kanālēm)</t>
  </si>
  <si>
    <t>Radiators VK-Profil Tips 22-500/1400mm PURMO</t>
  </si>
  <si>
    <t>Siltumizolācijas ierīkošana ar EPS</t>
  </si>
  <si>
    <t>2.20.</t>
  </si>
  <si>
    <t>4.12.1</t>
  </si>
  <si>
    <t>4.15.1</t>
  </si>
  <si>
    <t>Ventilācijas kanālu pagarināšana</t>
  </si>
  <si>
    <t xml:space="preserve">Durvju ailu apdare - apmešana, slīpēšana, gruntēšana, krāsošana </t>
  </si>
  <si>
    <t>Fasāžu  apšūšana  ar  EPS 60 λ=0,039W/m*K b=100 mm ar papildus armēšanu. Lodžiju izbīdījumu   Lodžiju izbīdījumu (lodžiju starpsienu), logu aiļu un palodžu siltināšana ar EPS 60 λ=0,039W/m*K b=50 mm.</t>
  </si>
  <si>
    <t>1.16.1</t>
  </si>
  <si>
    <t>Fasāžu apšūšana ar EPS 60 b=50 mm un b=100 mm, armēšana</t>
  </si>
  <si>
    <t>2.4.1</t>
  </si>
  <si>
    <t>2.5.1</t>
  </si>
  <si>
    <t>2.6.1</t>
  </si>
  <si>
    <t>2.7.1</t>
  </si>
  <si>
    <t>2.9.1</t>
  </si>
  <si>
    <t>2.13.1</t>
  </si>
  <si>
    <t>2.15.1</t>
  </si>
  <si>
    <t>2.15.2</t>
  </si>
  <si>
    <t>2.15.3</t>
  </si>
  <si>
    <t>2.15.4</t>
  </si>
  <si>
    <t>2.15.5</t>
  </si>
  <si>
    <t>4.4.1</t>
  </si>
  <si>
    <t>4.13</t>
  </si>
  <si>
    <t xml:space="preserve"> D-1 1500 x 21000 (h)</t>
  </si>
  <si>
    <t>8.5.1</t>
  </si>
  <si>
    <t>Līguma tāme</t>
  </si>
  <si>
    <t>Tāme AR IZMAIŅĀM</t>
  </si>
  <si>
    <r>
      <t>m</t>
    </r>
    <r>
      <rPr>
        <vertAlign val="superscript"/>
        <sz val="10"/>
        <rFont val="Times New Roman"/>
        <family val="1"/>
      </rPr>
      <t>2</t>
    </r>
  </si>
  <si>
    <r>
      <t xml:space="preserve">Fasādes sienu </t>
    </r>
    <r>
      <rPr>
        <sz val="10"/>
        <rFont val="Times New Roman"/>
        <family val="1"/>
      </rPr>
      <t xml:space="preserve"> remonts </t>
    </r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</si>
  <si>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</si>
  <si>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Koka rāmju logu nomaiņa  dzīvokļos pret PVC dubulto stiklojumu  ar  stikla selektīvo pārklājumu U =&lt; 1,3 W/(m</t>
    </r>
    <r>
      <rPr>
        <u val="single"/>
        <vertAlign val="superscript"/>
        <sz val="10"/>
        <rFont val="Times New Roman"/>
        <family val="1"/>
      </rPr>
      <t>2</t>
    </r>
    <r>
      <rPr>
        <u val="single"/>
        <sz val="10"/>
        <rFont val="Times New Roman"/>
        <family val="1"/>
      </rPr>
      <t xml:space="preserve">*K) </t>
    </r>
  </si>
  <si>
    <r>
      <t>m</t>
    </r>
    <r>
      <rPr>
        <vertAlign val="superscript"/>
        <sz val="10"/>
        <rFont val="Times New Roman"/>
        <family val="1"/>
      </rPr>
      <t>2</t>
    </r>
  </si>
  <si>
    <r>
      <t>Koka rāmju logu nomaiņa  kāpņu telpās  pret PVC dubulto stiklojumu  ar  stikla selektīvo pārklājumu U =&lt; 1,3 W/(m</t>
    </r>
    <r>
      <rPr>
        <u val="single"/>
        <vertAlign val="superscript"/>
        <sz val="10"/>
        <rFont val="Times New Roman"/>
        <family val="1"/>
      </rPr>
      <t>2</t>
    </r>
    <r>
      <rPr>
        <u val="single"/>
        <sz val="10"/>
        <rFont val="Times New Roman"/>
        <family val="1"/>
      </rPr>
      <t xml:space="preserve">*K) </t>
    </r>
  </si>
  <si>
    <t>stiprinājumi (peldošie dībeli - 5kg/m2, sk. AR-6, P-01)</t>
  </si>
  <si>
    <t>Jumta vēdinšānas kanālu remonts  un apdare (apšušana ar minerītu, ruberoida uzkausēšana)</t>
  </si>
  <si>
    <t>KOPĀ:</t>
  </si>
  <si>
    <t xml:space="preserve">dībeļi </t>
  </si>
  <si>
    <t>stiklašķiedras siets</t>
  </si>
  <si>
    <t>pirmsapmetuma grunts</t>
  </si>
  <si>
    <t>dekoratīvais apmetums</t>
  </si>
  <si>
    <t xml:space="preserve">  smilts </t>
  </si>
  <si>
    <t xml:space="preserve">  šķembas </t>
  </si>
  <si>
    <t>betona bruģis</t>
  </si>
  <si>
    <t>cementa java</t>
  </si>
  <si>
    <t>betona apmale BR 100.20.8</t>
  </si>
  <si>
    <r>
      <t>m</t>
    </r>
    <r>
      <rPr>
        <vertAlign val="superscript"/>
        <sz val="10"/>
        <rFont val="Times New Roman"/>
        <family val="1"/>
      </rPr>
      <t>3</t>
    </r>
  </si>
  <si>
    <r>
      <t>ekstrudētais  putupolistirols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Ecoprim 200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b=80 mm vai analogs </t>
    </r>
  </si>
  <si>
    <t>Izejas lūku uz jumta nomaiņa  (siltināta)</t>
  </si>
  <si>
    <t>8.13.</t>
  </si>
  <si>
    <t>8.14.</t>
  </si>
  <si>
    <t>Kāpņu telpu atjaunošana (kosmētiskais remonts) pēc apkures stāvvadu ierīkošanas</t>
  </si>
  <si>
    <t>Kājslauķu nomaiņa</t>
  </si>
  <si>
    <t>Apkures sistēmas stāvvadu pārcelšana no dzīvokļiem uz kāpņu telpām</t>
  </si>
  <si>
    <t>10.1.</t>
  </si>
  <si>
    <t>8.6.2</t>
  </si>
  <si>
    <t>8.7.3</t>
  </si>
  <si>
    <t>8.8.4</t>
  </si>
  <si>
    <t>8.9.5</t>
  </si>
  <si>
    <t>8.10.6</t>
  </si>
  <si>
    <t>Objekta, sakopšana, tīrīšana</t>
  </si>
  <si>
    <t>2.17.1.</t>
  </si>
  <si>
    <t>Esošās grīdas remonts un slīpēšana</t>
  </si>
  <si>
    <t>2.19.2.</t>
  </si>
  <si>
    <t>Parapeta mūrēšana</t>
  </si>
  <si>
    <t>2.19.3.</t>
  </si>
  <si>
    <t>smilšpapirs</t>
  </si>
  <si>
    <t>špaktele</t>
  </si>
  <si>
    <t>krāsa tonētā</t>
  </si>
  <si>
    <t>4.9.1.</t>
  </si>
  <si>
    <t>Dzegas apšuvuma krāsošana 2 reizes</t>
  </si>
  <si>
    <t>Ieejas durvju  sagatavošana un krāsošana (2,1x1,5x2xk=1,2x4)</t>
  </si>
  <si>
    <t xml:space="preserve">Apkures sistēma </t>
  </si>
  <si>
    <t>Esošo komunikacuju šahtu uzlaušana/atjaunošana kapņu telpās</t>
  </si>
  <si>
    <t>2013.g. "_____ '' martā</t>
  </si>
  <si>
    <t>2013.g. "_____" martā</t>
  </si>
  <si>
    <t>2012.g. "_____ '' decembrī</t>
  </si>
  <si>
    <t>Radiators VK-Profil Tips 22-500/1600mm PURMO</t>
  </si>
  <si>
    <t xml:space="preserve">putupolistirols  b=100 mm </t>
  </si>
  <si>
    <t>attaukotājs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</si>
</sst>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L_s"/>
    <numFmt numFmtId="182" formatCode="_-[$Ls-426]\ * #,##0.00_-;\-[$Ls-426]\ * #,##0.00_-;_-[$Ls-426]\ * &quot;-&quot;??_-;_-@_-"/>
    <numFmt numFmtId="183" formatCode="#,##0.00_ ;\-#,##0.00\ "/>
    <numFmt numFmtId="184" formatCode="#,##0.00\ _L_s"/>
    <numFmt numFmtId="185" formatCode="[$-FC19]d\ mmmm\ yyyy\ &quot;г.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0000"/>
    <numFmt numFmtId="192" formatCode="0.0000"/>
    <numFmt numFmtId="193" formatCode="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7" fillId="0" borderId="0" xfId="66" applyNumberFormat="1" applyFont="1" applyFill="1" applyAlignment="1">
      <alignment vertic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62" applyFont="1" applyFill="1" applyAlignment="1">
      <alignment horizontal="right"/>
      <protection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/>
    </xf>
    <xf numFmtId="0" fontId="4" fillId="32" borderId="0" xfId="0" applyFont="1" applyFill="1" applyAlignment="1">
      <alignment vertical="center"/>
    </xf>
    <xf numFmtId="0" fontId="7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1" fontId="4" fillId="0" borderId="17" xfId="61" applyNumberFormat="1" applyFont="1" applyFill="1" applyBorder="1" applyAlignment="1">
      <alignment horizontal="center" vertical="center"/>
      <protection/>
    </xf>
    <xf numFmtId="1" fontId="4" fillId="0" borderId="18" xfId="61" applyNumberFormat="1" applyFont="1" applyFill="1" applyBorder="1" applyAlignment="1">
      <alignment horizontal="center" vertical="center"/>
      <protection/>
    </xf>
    <xf numFmtId="1" fontId="13" fillId="0" borderId="19" xfId="0" applyNumberFormat="1" applyFont="1" applyFill="1" applyBorder="1" applyAlignment="1">
      <alignment horizontal="center"/>
    </xf>
    <xf numFmtId="1" fontId="13" fillId="0" borderId="20" xfId="0" applyNumberFormat="1" applyFont="1" applyFill="1" applyBorder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2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13" fillId="0" borderId="22" xfId="46" applyFont="1" applyFill="1" applyBorder="1" applyAlignment="1">
      <alignment horizontal="center" vertical="center"/>
      <protection/>
    </xf>
    <xf numFmtId="0" fontId="13" fillId="0" borderId="11" xfId="46" applyFont="1" applyFill="1" applyBorder="1" applyAlignment="1">
      <alignment horizontal="left" vertical="center" wrapText="1"/>
      <protection/>
    </xf>
    <xf numFmtId="0" fontId="13" fillId="0" borderId="11" xfId="46" applyFont="1" applyFill="1" applyBorder="1" applyAlignment="1">
      <alignment horizontal="right" vertical="center" wrapText="1"/>
      <protection/>
    </xf>
    <xf numFmtId="2" fontId="13" fillId="0" borderId="23" xfId="46" applyNumberFormat="1" applyFont="1" applyFill="1" applyBorder="1" applyAlignment="1">
      <alignment horizontal="right" vertical="center"/>
      <protection/>
    </xf>
    <xf numFmtId="0" fontId="4" fillId="0" borderId="11" xfId="0" applyFont="1" applyFill="1" applyBorder="1" applyAlignment="1">
      <alignment horizontal="left" wrapText="1"/>
    </xf>
    <xf numFmtId="2" fontId="4" fillId="0" borderId="11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wrapText="1"/>
    </xf>
    <xf numFmtId="0" fontId="4" fillId="0" borderId="23" xfId="0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/>
    </xf>
    <xf numFmtId="0" fontId="4" fillId="0" borderId="22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2" fontId="4" fillId="0" borderId="12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32" borderId="11" xfId="0" applyFont="1" applyFill="1" applyBorder="1" applyAlignment="1">
      <alignment horizontal="left" vertical="center" wrapText="1"/>
    </xf>
    <xf numFmtId="16" fontId="4" fillId="0" borderId="22" xfId="0" applyNumberFormat="1" applyFont="1" applyFill="1" applyBorder="1" applyAlignment="1">
      <alignment horizontal="center" vertical="center" wrapText="1"/>
    </xf>
    <xf numFmtId="0" fontId="4" fillId="0" borderId="11" xfId="56" applyFont="1" applyFill="1" applyBorder="1" applyAlignment="1" applyProtection="1">
      <alignment horizontal="left" vertical="center" wrapText="1"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wrapText="1"/>
    </xf>
    <xf numFmtId="2" fontId="4" fillId="0" borderId="3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14" fillId="0" borderId="2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4" fillId="0" borderId="11" xfId="66" applyFont="1" applyFill="1" applyBorder="1" applyAlignment="1">
      <alignment horizontal="left"/>
      <protection/>
    </xf>
    <xf numFmtId="0" fontId="4" fillId="0" borderId="12" xfId="0" applyNumberFormat="1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right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2" fontId="8" fillId="0" borderId="11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4" fillId="0" borderId="23" xfId="0" applyNumberFormat="1" applyFont="1" applyFill="1" applyBorder="1" applyAlignment="1">
      <alignment horizontal="center" wrapText="1"/>
    </xf>
    <xf numFmtId="2" fontId="4" fillId="0" borderId="25" xfId="0" applyNumberFormat="1" applyFont="1" applyFill="1" applyBorder="1" applyAlignment="1">
      <alignment horizontal="center" wrapText="1"/>
    </xf>
    <xf numFmtId="2" fontId="4" fillId="0" borderId="32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1" fontId="4" fillId="0" borderId="37" xfId="61" applyNumberFormat="1" applyFont="1" applyFill="1" applyBorder="1" applyAlignment="1">
      <alignment horizontal="center" vertical="center"/>
      <protection/>
    </xf>
    <xf numFmtId="0" fontId="4" fillId="0" borderId="24" xfId="0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 horizontal="center" vertical="center"/>
    </xf>
    <xf numFmtId="2" fontId="13" fillId="0" borderId="28" xfId="46" applyNumberFormat="1" applyFont="1" applyFill="1" applyBorder="1" applyAlignment="1">
      <alignment horizontal="right" vertical="center"/>
      <protection/>
    </xf>
    <xf numFmtId="2" fontId="4" fillId="0" borderId="2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/>
    </xf>
    <xf numFmtId="2" fontId="4" fillId="0" borderId="40" xfId="0" applyNumberFormat="1" applyFont="1" applyFill="1" applyBorder="1" applyAlignment="1">
      <alignment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44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44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13" fillId="0" borderId="23" xfId="46" applyFont="1" applyFill="1" applyBorder="1" applyAlignment="1">
      <alignment horizontal="center" vertical="center"/>
      <protection/>
    </xf>
    <xf numFmtId="0" fontId="4" fillId="0" borderId="32" xfId="0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1" fontId="4" fillId="32" borderId="23" xfId="0" applyNumberFormat="1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 vertical="center" wrapText="1"/>
    </xf>
    <xf numFmtId="0" fontId="13" fillId="0" borderId="23" xfId="46" applyFont="1" applyFill="1" applyBorder="1" applyAlignment="1">
      <alignment horizontal="center" vertical="center" wrapText="1"/>
      <protection/>
    </xf>
    <xf numFmtId="0" fontId="4" fillId="0" borderId="3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2" fontId="4" fillId="0" borderId="47" xfId="0" applyNumberFormat="1" applyFont="1" applyFill="1" applyBorder="1" applyAlignment="1">
      <alignment horizontal="center" vertical="center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32" borderId="47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/>
    </xf>
    <xf numFmtId="2" fontId="4" fillId="0" borderId="46" xfId="0" applyNumberFormat="1" applyFont="1" applyFill="1" applyBorder="1" applyAlignment="1">
      <alignment horizontal="center" vertical="center"/>
    </xf>
    <xf numFmtId="2" fontId="4" fillId="0" borderId="46" xfId="0" applyNumberFormat="1" applyFont="1" applyFill="1" applyBorder="1" applyAlignment="1">
      <alignment horizontal="center" vertical="center" wrapText="1"/>
    </xf>
    <xf numFmtId="2" fontId="13" fillId="0" borderId="47" xfId="46" applyNumberFormat="1" applyFont="1" applyFill="1" applyBorder="1" applyAlignment="1">
      <alignment horizontal="center" vertical="center"/>
      <protection/>
    </xf>
    <xf numFmtId="2" fontId="13" fillId="32" borderId="47" xfId="46" applyNumberFormat="1" applyFont="1" applyFill="1" applyBorder="1" applyAlignment="1">
      <alignment horizontal="center" vertical="center"/>
      <protection/>
    </xf>
    <xf numFmtId="4" fontId="4" fillId="0" borderId="47" xfId="0" applyNumberFormat="1" applyFont="1" applyFill="1" applyBorder="1" applyAlignment="1">
      <alignment horizontal="center" vertical="center"/>
    </xf>
    <xf numFmtId="4" fontId="4" fillId="32" borderId="47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2" fontId="4" fillId="0" borderId="49" xfId="0" applyNumberFormat="1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/>
    </xf>
    <xf numFmtId="180" fontId="4" fillId="0" borderId="47" xfId="0" applyNumberFormat="1" applyFont="1" applyFill="1" applyBorder="1" applyAlignment="1">
      <alignment horizontal="center" vertical="center"/>
    </xf>
    <xf numFmtId="2" fontId="13" fillId="0" borderId="47" xfId="46" applyNumberFormat="1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3" fillId="0" borderId="29" xfId="46" applyFont="1" applyFill="1" applyBorder="1" applyAlignment="1">
      <alignment horizontal="center" vertical="center"/>
      <protection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/>
    </xf>
    <xf numFmtId="2" fontId="4" fillId="0" borderId="51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16" fontId="4" fillId="0" borderId="29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/>
    </xf>
    <xf numFmtId="4" fontId="4" fillId="0" borderId="4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justify" vertical="center" wrapText="1"/>
    </xf>
    <xf numFmtId="2" fontId="4" fillId="0" borderId="52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 wrapText="1"/>
    </xf>
    <xf numFmtId="0" fontId="14" fillId="0" borderId="10" xfId="56" applyFont="1" applyFill="1" applyBorder="1" applyAlignment="1" applyProtection="1">
      <alignment vertical="center" wrapText="1"/>
      <protection/>
    </xf>
    <xf numFmtId="0" fontId="4" fillId="0" borderId="10" xfId="66" applyFont="1" applyFill="1" applyBorder="1" applyAlignment="1">
      <alignment horizontal="left" vertical="center" wrapText="1"/>
      <protection/>
    </xf>
    <xf numFmtId="0" fontId="4" fillId="0" borderId="1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22" xfId="0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right" wrapText="1"/>
    </xf>
    <xf numFmtId="0" fontId="4" fillId="0" borderId="32" xfId="0" applyFont="1" applyFill="1" applyBorder="1" applyAlignment="1">
      <alignment horizontal="center" wrapText="1"/>
    </xf>
    <xf numFmtId="2" fontId="4" fillId="0" borderId="31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wrapText="1"/>
    </xf>
    <xf numFmtId="9" fontId="4" fillId="0" borderId="32" xfId="0" applyNumberFormat="1" applyFont="1" applyFill="1" applyBorder="1" applyAlignment="1">
      <alignment horizont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wrapText="1"/>
    </xf>
    <xf numFmtId="2" fontId="4" fillId="0" borderId="24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wrapText="1"/>
    </xf>
    <xf numFmtId="2" fontId="4" fillId="0" borderId="26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9" fontId="4" fillId="0" borderId="23" xfId="0" applyNumberFormat="1" applyFont="1" applyFill="1" applyBorder="1" applyAlignment="1">
      <alignment horizontal="center" wrapText="1"/>
    </xf>
    <xf numFmtId="2" fontId="4" fillId="0" borderId="29" xfId="0" applyNumberFormat="1" applyFont="1" applyFill="1" applyBorder="1" applyAlignment="1">
      <alignment horizont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wrapText="1"/>
    </xf>
    <xf numFmtId="10" fontId="4" fillId="0" borderId="2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/>
    </xf>
    <xf numFmtId="10" fontId="4" fillId="0" borderId="32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vertical="center" wrapText="1"/>
    </xf>
    <xf numFmtId="0" fontId="8" fillId="0" borderId="57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horizontal="center" vertical="center" wrapText="1"/>
    </xf>
    <xf numFmtId="2" fontId="8" fillId="0" borderId="57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55" xfId="0" applyNumberFormat="1" applyFont="1" applyFill="1" applyBorder="1" applyAlignment="1">
      <alignment horizontal="center" vertical="center" wrapText="1"/>
    </xf>
    <xf numFmtId="2" fontId="8" fillId="0" borderId="58" xfId="0" applyNumberFormat="1" applyFont="1" applyFill="1" applyBorder="1" applyAlignment="1">
      <alignment horizontal="center" vertical="center"/>
    </xf>
    <xf numFmtId="2" fontId="8" fillId="0" borderId="5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horizontal="center" vertical="center" wrapText="1"/>
    </xf>
    <xf numFmtId="2" fontId="8" fillId="0" borderId="40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wrapText="1"/>
    </xf>
    <xf numFmtId="2" fontId="4" fillId="33" borderId="4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" fontId="4" fillId="0" borderId="22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justify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2" fontId="7" fillId="0" borderId="11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7" fillId="0" borderId="26" xfId="0" applyNumberFormat="1" applyFont="1" applyFill="1" applyBorder="1" applyAlignment="1">
      <alignment horizontal="center" vertical="center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distributed"/>
    </xf>
    <xf numFmtId="0" fontId="4" fillId="0" borderId="43" xfId="0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/>
    </xf>
    <xf numFmtId="2" fontId="7" fillId="0" borderId="62" xfId="0" applyNumberFormat="1" applyFont="1" applyFill="1" applyBorder="1" applyAlignment="1">
      <alignment horizontal="center" vertical="center"/>
    </xf>
    <xf numFmtId="0" fontId="7" fillId="0" borderId="62" xfId="0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distributed"/>
    </xf>
    <xf numFmtId="2" fontId="4" fillId="0" borderId="47" xfId="0" applyNumberFormat="1" applyFont="1" applyFill="1" applyBorder="1" applyAlignment="1">
      <alignment horizontal="center" vertical="distributed"/>
    </xf>
    <xf numFmtId="0" fontId="4" fillId="0" borderId="41" xfId="0" applyFont="1" applyFill="1" applyBorder="1" applyAlignment="1">
      <alignment horizontal="center"/>
    </xf>
    <xf numFmtId="2" fontId="4" fillId="0" borderId="52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63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2" fontId="4" fillId="33" borderId="47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2" fontId="4" fillId="0" borderId="65" xfId="0" applyNumberFormat="1" applyFont="1" applyFill="1" applyBorder="1" applyAlignment="1">
      <alignment horizontal="center" vertical="center"/>
    </xf>
    <xf numFmtId="2" fontId="4" fillId="0" borderId="65" xfId="0" applyNumberFormat="1" applyFont="1" applyFill="1" applyBorder="1" applyAlignment="1">
      <alignment horizontal="center" vertical="center" wrapText="1"/>
    </xf>
    <xf numFmtId="2" fontId="4" fillId="33" borderId="48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left" wrapText="1"/>
    </xf>
    <xf numFmtId="2" fontId="4" fillId="34" borderId="47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wrapText="1"/>
    </xf>
    <xf numFmtId="2" fontId="4" fillId="34" borderId="48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2" fontId="4" fillId="34" borderId="46" xfId="0" applyNumberFormat="1" applyFont="1" applyFill="1" applyBorder="1" applyAlignment="1">
      <alignment horizontal="center" vertical="center" wrapText="1"/>
    </xf>
    <xf numFmtId="2" fontId="4" fillId="34" borderId="47" xfId="0" applyNumberFormat="1" applyFont="1" applyFill="1" applyBorder="1" applyAlignment="1">
      <alignment horizontal="center" vertical="center" wrapText="1"/>
    </xf>
    <xf numFmtId="2" fontId="4" fillId="34" borderId="47" xfId="0" applyNumberFormat="1" applyFont="1" applyFill="1" applyBorder="1" applyAlignment="1">
      <alignment horizontal="center" vertical="center"/>
    </xf>
    <xf numFmtId="2" fontId="4" fillId="0" borderId="49" xfId="0" applyNumberFormat="1" applyFont="1" applyFill="1" applyBorder="1" applyAlignment="1">
      <alignment horizontal="center"/>
    </xf>
    <xf numFmtId="2" fontId="4" fillId="0" borderId="47" xfId="0" applyNumberFormat="1" applyFont="1" applyFill="1" applyBorder="1" applyAlignment="1">
      <alignment horizontal="center"/>
    </xf>
    <xf numFmtId="0" fontId="4" fillId="34" borderId="25" xfId="0" applyFont="1" applyFill="1" applyBorder="1" applyAlignment="1">
      <alignment horizontal="left" vertical="center" wrapText="1"/>
    </xf>
    <xf numFmtId="0" fontId="4" fillId="34" borderId="34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66" xfId="0" applyNumberFormat="1" applyFont="1" applyFill="1" applyBorder="1" applyAlignment="1">
      <alignment horizontal="center" vertical="center"/>
    </xf>
    <xf numFmtId="2" fontId="4" fillId="0" borderId="67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1" fontId="4" fillId="0" borderId="4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2" borderId="13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0" fillId="0" borderId="0" xfId="0" applyAlignment="1">
      <alignment horizontal="left"/>
    </xf>
    <xf numFmtId="1" fontId="7" fillId="0" borderId="0" xfId="61" applyNumberFormat="1" applyFont="1" applyFill="1" applyBorder="1" applyAlignment="1">
      <alignment horizontal="center" vertical="center"/>
      <protection/>
    </xf>
    <xf numFmtId="1" fontId="1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64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23" xfId="56" applyFont="1" applyFill="1" applyBorder="1" applyAlignment="1" applyProtection="1">
      <alignment horizontal="left" vertical="center" wrapText="1"/>
      <protection/>
    </xf>
    <xf numFmtId="2" fontId="4" fillId="0" borderId="23" xfId="0" applyNumberFormat="1" applyFont="1" applyFill="1" applyBorder="1" applyAlignment="1">
      <alignment horizontal="left" vertical="center"/>
    </xf>
    <xf numFmtId="2" fontId="7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 applyProtection="1">
      <alignment horizontal="left" vertical="center" wrapText="1"/>
      <protection/>
    </xf>
    <xf numFmtId="2" fontId="4" fillId="0" borderId="47" xfId="0" applyNumberFormat="1" applyFont="1" applyFill="1" applyBorder="1" applyAlignment="1" applyProtection="1">
      <alignment horizontal="center" vertical="center"/>
      <protection/>
    </xf>
    <xf numFmtId="2" fontId="4" fillId="0" borderId="47" xfId="42" applyNumberFormat="1" applyFont="1" applyFill="1" applyBorder="1" applyAlignment="1" applyProtection="1">
      <alignment horizontal="center" vertical="center"/>
      <protection/>
    </xf>
    <xf numFmtId="4" fontId="7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2" fontId="17" fillId="0" borderId="56" xfId="0" applyNumberFormat="1" applyFont="1" applyFill="1" applyBorder="1" applyAlignment="1">
      <alignment horizontal="center" vertical="center" wrapText="1"/>
    </xf>
    <xf numFmtId="2" fontId="7" fillId="0" borderId="59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/>
    </xf>
    <xf numFmtId="2" fontId="4" fillId="0" borderId="58" xfId="0" applyNumberFormat="1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4" fontId="4" fillId="32" borderId="0" xfId="61" applyNumberFormat="1" applyFont="1" applyFill="1" applyBorder="1" applyAlignment="1">
      <alignment horizontal="center" vertical="center" textRotation="90" wrapText="1"/>
      <protection/>
    </xf>
    <xf numFmtId="4" fontId="4" fillId="32" borderId="62" xfId="61" applyNumberFormat="1" applyFont="1" applyFill="1" applyBorder="1" applyAlignment="1">
      <alignment horizontal="center" vertical="center" textRotation="90" wrapText="1"/>
      <protection/>
    </xf>
    <xf numFmtId="0" fontId="4" fillId="32" borderId="13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 textRotation="90" wrapText="1"/>
    </xf>
    <xf numFmtId="0" fontId="4" fillId="32" borderId="68" xfId="0" applyFont="1" applyFill="1" applyBorder="1" applyAlignment="1">
      <alignment horizontal="center" vertical="center"/>
    </xf>
    <xf numFmtId="0" fontId="4" fillId="32" borderId="69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center" vertical="center"/>
    </xf>
    <xf numFmtId="0" fontId="4" fillId="32" borderId="70" xfId="0" applyFont="1" applyFill="1" applyBorder="1" applyAlignment="1">
      <alignment horizontal="center" vertical="center"/>
    </xf>
    <xf numFmtId="0" fontId="4" fillId="32" borderId="71" xfId="0" applyFont="1" applyFill="1" applyBorder="1" applyAlignment="1">
      <alignment horizontal="center" vertical="center"/>
    </xf>
    <xf numFmtId="0" fontId="4" fillId="32" borderId="72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center" vertical="center" textRotation="90"/>
    </xf>
    <xf numFmtId="0" fontId="4" fillId="32" borderId="53" xfId="0" applyFont="1" applyFill="1" applyBorder="1" applyAlignment="1">
      <alignment horizontal="center" vertical="center" textRotation="90"/>
    </xf>
    <xf numFmtId="0" fontId="4" fillId="32" borderId="50" xfId="0" applyFont="1" applyFill="1" applyBorder="1" applyAlignment="1">
      <alignment horizontal="center" vertical="center" textRotation="90"/>
    </xf>
    <xf numFmtId="4" fontId="7" fillId="32" borderId="62" xfId="61" applyNumberFormat="1" applyFont="1" applyFill="1" applyBorder="1" applyAlignment="1">
      <alignment horizontal="center" vertical="center" wrapText="1"/>
      <protection/>
    </xf>
    <xf numFmtId="4" fontId="7" fillId="32" borderId="0" xfId="61" applyNumberFormat="1" applyFont="1" applyFill="1" applyBorder="1" applyAlignment="1">
      <alignment horizontal="center" vertical="center" wrapText="1"/>
      <protection/>
    </xf>
    <xf numFmtId="0" fontId="13" fillId="32" borderId="0" xfId="0" applyFont="1" applyFill="1" applyBorder="1" applyAlignment="1">
      <alignment horizontal="center" wrapText="1"/>
    </xf>
    <xf numFmtId="4" fontId="4" fillId="0" borderId="73" xfId="61" applyNumberFormat="1" applyFont="1" applyFill="1" applyBorder="1" applyAlignment="1">
      <alignment horizontal="center" vertical="center" textRotation="90" wrapText="1"/>
      <protection/>
    </xf>
    <xf numFmtId="4" fontId="4" fillId="0" borderId="74" xfId="61" applyNumberFormat="1" applyFont="1" applyFill="1" applyBorder="1" applyAlignment="1">
      <alignment horizontal="center" vertical="center" textRotation="90" wrapText="1"/>
      <protection/>
    </xf>
    <xf numFmtId="0" fontId="13" fillId="0" borderId="52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4" fontId="4" fillId="0" borderId="75" xfId="61" applyNumberFormat="1" applyFont="1" applyFill="1" applyBorder="1" applyAlignment="1">
      <alignment horizontal="center" vertical="center" textRotation="90" wrapText="1"/>
      <protection/>
    </xf>
    <xf numFmtId="4" fontId="4" fillId="0" borderId="76" xfId="61" applyNumberFormat="1" applyFont="1" applyFill="1" applyBorder="1" applyAlignment="1">
      <alignment horizontal="center" vertical="center" textRotation="90" wrapText="1"/>
      <protection/>
    </xf>
    <xf numFmtId="4" fontId="4" fillId="0" borderId="56" xfId="61" applyNumberFormat="1" applyFont="1" applyFill="1" applyBorder="1" applyAlignment="1">
      <alignment horizontal="center" vertical="center" textRotation="90" wrapText="1"/>
      <protection/>
    </xf>
    <xf numFmtId="4" fontId="4" fillId="0" borderId="50" xfId="61" applyNumberFormat="1" applyFont="1" applyFill="1" applyBorder="1" applyAlignment="1">
      <alignment horizontal="center" vertical="center" textRotation="90" wrapText="1"/>
      <protection/>
    </xf>
    <xf numFmtId="4" fontId="4" fillId="0" borderId="77" xfId="61" applyNumberFormat="1" applyFont="1" applyFill="1" applyBorder="1" applyAlignment="1">
      <alignment horizontal="center" vertical="center" textRotation="90" wrapText="1"/>
      <protection/>
    </xf>
    <xf numFmtId="4" fontId="4" fillId="0" borderId="78" xfId="61" applyNumberFormat="1" applyFont="1" applyFill="1" applyBorder="1" applyAlignment="1">
      <alignment horizontal="center" vertical="center" textRotation="90" wrapText="1"/>
      <protection/>
    </xf>
    <xf numFmtId="0" fontId="10" fillId="0" borderId="51" xfId="0" applyFont="1" applyFill="1" applyBorder="1" applyAlignment="1">
      <alignment horizontal="center"/>
    </xf>
    <xf numFmtId="0" fontId="11" fillId="0" borderId="0" xfId="62" applyFont="1" applyFill="1" applyBorder="1" applyAlignment="1">
      <alignment horizontal="center"/>
      <protection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79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 textRotation="90" wrapText="1"/>
    </xf>
    <xf numFmtId="0" fontId="4" fillId="0" borderId="84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textRotation="90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 textRotation="90"/>
    </xf>
    <xf numFmtId="0" fontId="4" fillId="0" borderId="88" xfId="0" applyFont="1" applyFill="1" applyBorder="1" applyAlignment="1">
      <alignment horizontal="center" vertical="center" textRotation="90"/>
    </xf>
    <xf numFmtId="0" fontId="4" fillId="0" borderId="89" xfId="0" applyFont="1" applyFill="1" applyBorder="1" applyAlignment="1">
      <alignment horizontal="center" vertical="center" textRotation="90"/>
    </xf>
    <xf numFmtId="0" fontId="4" fillId="0" borderId="56" xfId="0" applyFont="1" applyFill="1" applyBorder="1" applyAlignment="1">
      <alignment horizontal="center" vertical="center" textRotation="90"/>
    </xf>
    <xf numFmtId="0" fontId="4" fillId="0" borderId="53" xfId="0" applyFont="1" applyFill="1" applyBorder="1" applyAlignment="1">
      <alignment horizontal="center" vertical="center" textRotation="90"/>
    </xf>
    <xf numFmtId="0" fontId="4" fillId="0" borderId="5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" fontId="4" fillId="0" borderId="52" xfId="61" applyNumberFormat="1" applyFont="1" applyFill="1" applyBorder="1" applyAlignment="1">
      <alignment horizontal="center" vertical="center" wrapText="1"/>
      <protection/>
    </xf>
    <xf numFmtId="4" fontId="4" fillId="0" borderId="18" xfId="61" applyNumberFormat="1" applyFont="1" applyFill="1" applyBorder="1" applyAlignment="1">
      <alignment horizontal="center" vertical="center" wrapText="1"/>
      <protection/>
    </xf>
    <xf numFmtId="0" fontId="4" fillId="0" borderId="90" xfId="0" applyFont="1" applyFill="1" applyBorder="1" applyAlignment="1">
      <alignment horizontal="center" vertical="center" textRotation="90" wrapText="1"/>
    </xf>
    <xf numFmtId="0" fontId="4" fillId="0" borderId="91" xfId="0" applyFont="1" applyFill="1" applyBorder="1" applyAlignment="1">
      <alignment horizontal="center" vertical="center" textRotation="90" wrapText="1"/>
    </xf>
    <xf numFmtId="0" fontId="13" fillId="0" borderId="77" xfId="0" applyFont="1" applyFill="1" applyBorder="1" applyAlignment="1">
      <alignment horizontal="center" textRotation="90" wrapText="1"/>
    </xf>
    <xf numFmtId="0" fontId="13" fillId="0" borderId="92" xfId="0" applyFont="1" applyFill="1" applyBorder="1" applyAlignment="1">
      <alignment horizontal="center" textRotation="90" wrapText="1"/>
    </xf>
    <xf numFmtId="0" fontId="13" fillId="0" borderId="78" xfId="0" applyFont="1" applyFill="1" applyBorder="1" applyAlignment="1">
      <alignment horizontal="center" textRotation="90" wrapText="1"/>
    </xf>
    <xf numFmtId="4" fontId="4" fillId="0" borderId="69" xfId="61" applyNumberFormat="1" applyFont="1" applyFill="1" applyBorder="1" applyAlignment="1">
      <alignment horizontal="center" vertical="center" textRotation="90" wrapText="1"/>
      <protection/>
    </xf>
    <xf numFmtId="4" fontId="4" fillId="0" borderId="72" xfId="61" applyNumberFormat="1" applyFont="1" applyFill="1" applyBorder="1" applyAlignment="1">
      <alignment horizontal="center" vertical="center" textRotation="90" wrapText="1"/>
      <protection/>
    </xf>
    <xf numFmtId="0" fontId="4" fillId="0" borderId="5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 textRotation="90" wrapText="1"/>
    </xf>
    <xf numFmtId="0" fontId="4" fillId="0" borderId="94" xfId="0" applyFont="1" applyFill="1" applyBorder="1" applyAlignment="1">
      <alignment horizontal="center" vertical="center" textRotation="90" wrapText="1"/>
    </xf>
    <xf numFmtId="0" fontId="4" fillId="0" borderId="95" xfId="0" applyFont="1" applyFill="1" applyBorder="1" applyAlignment="1">
      <alignment horizontal="center" vertical="center" textRotation="90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32" borderId="0" xfId="0" applyFont="1" applyFill="1" applyBorder="1" applyAlignment="1">
      <alignment vertical="center"/>
    </xf>
    <xf numFmtId="4" fontId="7" fillId="32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2" xfId="47"/>
    <cellStyle name="Excel Built-in Normal_Rigas_18_buvuzraugu_07.05.201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Kopmitnes" xfId="61"/>
    <cellStyle name="Normal_TAME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2"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1" name="Text Box 6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2" name="Text Box 7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3" name="Text Box 8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4" name="Text Box 9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5" name="Text Box 10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6" name="Text Box 11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7" name="Text Box 12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8" name="Text Box 13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9" name="Text Box 6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10" name="Text Box 7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11" name="Text Box 8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12" name="Text Box 9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13" name="Text Box 10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14" name="Text Box 11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15" name="Text Box 12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16" name="Text Box 13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17" name="Text Box 6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18" name="Text Box 7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19" name="Text Box 8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20" name="Text Box 9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21" name="Text Box 10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22" name="Text Box 11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23" name="Text Box 12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24" name="Text Box 13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25" name="Text Box 6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26" name="Text Box 7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27" name="Text Box 8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28" name="Text Box 9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29" name="Text Box 10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30" name="Text Box 11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31" name="Text Box 12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30</xdr:row>
      <xdr:rowOff>0</xdr:rowOff>
    </xdr:from>
    <xdr:ext cx="0" cy="161925"/>
    <xdr:sp fLocksText="0">
      <xdr:nvSpPr>
        <xdr:cNvPr id="32" name="Text Box 13"/>
        <xdr:cNvSpPr txBox="1">
          <a:spLocks noChangeArrowheads="1"/>
        </xdr:cNvSpPr>
      </xdr:nvSpPr>
      <xdr:spPr>
        <a:xfrm>
          <a:off x="14763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33" name="Text Box 6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34" name="Text Box 7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35" name="Text Box 8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36" name="Text Box 9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37" name="Text Box 10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38" name="Text Box 11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39" name="Text Box 12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40" name="Text Box 13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41" name="Text Box 6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42" name="Text Box 7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43" name="Text Box 8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44" name="Text Box 9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45" name="Text Box 10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46" name="Text Box 11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47" name="Text Box 12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48" name="Text Box 13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49" name="Text Box 6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50" name="Text Box 7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51" name="Text Box 8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52" name="Text Box 9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53" name="Text Box 10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54" name="Text Box 11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55" name="Text Box 12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56" name="Text Box 13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57" name="Text Box 6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58" name="Text Box 7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59" name="Text Box 8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60" name="Text Box 9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61" name="Text Box 10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62" name="Text Box 11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63" name="Text Box 12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39</xdr:row>
      <xdr:rowOff>0</xdr:rowOff>
    </xdr:from>
    <xdr:ext cx="85725" cy="161925"/>
    <xdr:sp fLocksText="0">
      <xdr:nvSpPr>
        <xdr:cNvPr id="64" name="Text Box 13"/>
        <xdr:cNvSpPr txBox="1">
          <a:spLocks noChangeArrowheads="1"/>
        </xdr:cNvSpPr>
      </xdr:nvSpPr>
      <xdr:spPr>
        <a:xfrm>
          <a:off x="1476375" y="7943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Watt" TargetMode="External" /><Relationship Id="rId2" Type="http://schemas.openxmlformats.org/officeDocument/2006/relationships/hyperlink" Target="http://en.wikipedia.org/wiki/Watt" TargetMode="External" /><Relationship Id="rId3" Type="http://schemas.openxmlformats.org/officeDocument/2006/relationships/hyperlink" Target="http://en.wikipedia.org/wiki/Watt" TargetMode="External" /><Relationship Id="rId4" Type="http://schemas.openxmlformats.org/officeDocument/2006/relationships/hyperlink" Target="http://en.wikipedia.org/wiki/Watt" TargetMode="External" /><Relationship Id="rId5" Type="http://schemas.openxmlformats.org/officeDocument/2006/relationships/hyperlink" Target="http://en.wikipedia.org/wiki/Watt" TargetMode="External" /><Relationship Id="rId6" Type="http://schemas.openxmlformats.org/officeDocument/2006/relationships/hyperlink" Target="http://en.wikipedia.org/wiki/Watt" TargetMode="External" /><Relationship Id="rId7" Type="http://schemas.openxmlformats.org/officeDocument/2006/relationships/hyperlink" Target="http://en.wikipedia.org/wiki/Watt" TargetMode="External" /><Relationship Id="rId8" Type="http://schemas.openxmlformats.org/officeDocument/2006/relationships/hyperlink" Target="http://en.wikipedia.org/wiki/Watt" TargetMode="External" /><Relationship Id="rId9" Type="http://schemas.openxmlformats.org/officeDocument/2006/relationships/hyperlink" Target="http://en.wikipedia.org/wiki/Watt" TargetMode="Externa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="110" zoomScaleNormal="110" zoomScalePageLayoutView="0" workbookViewId="0" topLeftCell="A33">
      <selection activeCell="B42" sqref="B42"/>
    </sheetView>
  </sheetViews>
  <sheetFormatPr defaultColWidth="9.00390625" defaultRowHeight="12.75"/>
  <cols>
    <col min="1" max="1" width="6.875" style="0" customWidth="1"/>
    <col min="2" max="2" width="59.625" style="459" customWidth="1"/>
    <col min="5" max="13" width="9.125" style="463" customWidth="1"/>
  </cols>
  <sheetData>
    <row r="1" spans="1:13" ht="13.5" customHeight="1">
      <c r="A1" s="491"/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1"/>
    </row>
    <row r="2" spans="1:16" ht="12.75" customHeight="1">
      <c r="A2" s="490"/>
      <c r="B2" s="490"/>
      <c r="C2" s="490"/>
      <c r="D2" s="490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</row>
    <row r="3" spans="1:13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</row>
    <row r="4" spans="1:13" ht="12.75">
      <c r="A4" s="482" t="s">
        <v>319</v>
      </c>
      <c r="B4" s="21"/>
      <c r="C4" s="31"/>
      <c r="D4" s="31"/>
      <c r="E4" s="2"/>
      <c r="F4" s="2"/>
      <c r="G4" s="2"/>
      <c r="H4" s="2"/>
      <c r="I4" s="2"/>
      <c r="J4" s="2"/>
      <c r="K4" s="2"/>
      <c r="L4" s="2"/>
      <c r="M4" s="456"/>
    </row>
    <row r="5" spans="1:13" ht="12.75">
      <c r="A5" s="20" t="s">
        <v>320</v>
      </c>
      <c r="B5" s="20"/>
      <c r="C5" s="483"/>
      <c r="D5" s="483"/>
      <c r="E5" s="2"/>
      <c r="F5" s="2"/>
      <c r="G5" s="2"/>
      <c r="H5" s="2"/>
      <c r="I5" s="2"/>
      <c r="J5" s="2"/>
      <c r="K5" s="2"/>
      <c r="L5" s="2"/>
      <c r="M5" s="462"/>
    </row>
    <row r="6" spans="1:13" ht="12.75">
      <c r="A6" s="484" t="s">
        <v>321</v>
      </c>
      <c r="B6" s="484"/>
      <c r="C6" s="484"/>
      <c r="D6" s="484"/>
      <c r="E6" s="2"/>
      <c r="F6" s="2"/>
      <c r="G6" s="2"/>
      <c r="H6" s="2"/>
      <c r="I6" s="2"/>
      <c r="J6" s="2"/>
      <c r="K6" s="2"/>
      <c r="L6" s="2"/>
      <c r="M6" s="456"/>
    </row>
    <row r="7" spans="1:13" ht="12.75">
      <c r="A7" s="30" t="s">
        <v>318</v>
      </c>
      <c r="B7" s="30"/>
      <c r="C7" s="483"/>
      <c r="D7" s="483"/>
      <c r="E7" s="2"/>
      <c r="F7" s="2"/>
      <c r="G7" s="2"/>
      <c r="H7" s="2"/>
      <c r="I7" s="2"/>
      <c r="J7" s="2"/>
      <c r="K7" s="2"/>
      <c r="L7" s="2"/>
      <c r="M7" s="456"/>
    </row>
    <row r="8" spans="1:13" ht="12.75">
      <c r="A8" s="484"/>
      <c r="B8" s="484"/>
      <c r="C8" s="484"/>
      <c r="D8" s="484"/>
      <c r="E8" s="2"/>
      <c r="F8" s="2"/>
      <c r="G8" s="2"/>
      <c r="H8" s="2"/>
      <c r="I8" s="2"/>
      <c r="J8" s="2"/>
      <c r="K8" s="2"/>
      <c r="L8" s="2"/>
      <c r="M8" s="456"/>
    </row>
    <row r="9" spans="1:13" ht="13.5" thickBot="1">
      <c r="A9" s="438"/>
      <c r="B9" s="457"/>
      <c r="C9" s="494"/>
      <c r="D9" s="494"/>
      <c r="E9" s="1"/>
      <c r="F9" s="1"/>
      <c r="G9" s="1"/>
      <c r="H9" s="1"/>
      <c r="I9" s="1"/>
      <c r="J9" s="1"/>
      <c r="K9" s="1"/>
      <c r="L9" s="1"/>
      <c r="M9" s="456"/>
    </row>
    <row r="10" spans="1:13" ht="13.5" customHeight="1">
      <c r="A10" s="496" t="s">
        <v>1</v>
      </c>
      <c r="B10" s="497"/>
      <c r="C10" s="502" t="s">
        <v>322</v>
      </c>
      <c r="D10" s="502" t="s">
        <v>323</v>
      </c>
      <c r="E10" s="505"/>
      <c r="F10" s="506"/>
      <c r="G10" s="506"/>
      <c r="H10" s="506"/>
      <c r="I10" s="506"/>
      <c r="J10" s="507"/>
      <c r="K10" s="507"/>
      <c r="L10" s="495"/>
      <c r="M10" s="373"/>
    </row>
    <row r="11" spans="1:13" ht="12.75" customHeight="1">
      <c r="A11" s="498"/>
      <c r="B11" s="499"/>
      <c r="C11" s="503"/>
      <c r="D11" s="503"/>
      <c r="E11" s="493"/>
      <c r="F11" s="492"/>
      <c r="G11" s="492"/>
      <c r="H11" s="492"/>
      <c r="I11" s="492"/>
      <c r="J11" s="492"/>
      <c r="K11" s="492"/>
      <c r="L11" s="495"/>
      <c r="M11" s="455"/>
    </row>
    <row r="12" spans="1:13" ht="104.25" customHeight="1" thickBot="1">
      <c r="A12" s="500"/>
      <c r="B12" s="501"/>
      <c r="C12" s="504"/>
      <c r="D12" s="504"/>
      <c r="E12" s="493"/>
      <c r="F12" s="492"/>
      <c r="G12" s="492"/>
      <c r="H12" s="492"/>
      <c r="I12" s="492"/>
      <c r="J12" s="492"/>
      <c r="K12" s="492"/>
      <c r="L12" s="495"/>
      <c r="M12" s="373"/>
    </row>
    <row r="13" spans="1:13" ht="13.5" thickBot="1">
      <c r="A13" s="439">
        <v>1</v>
      </c>
      <c r="B13" s="458">
        <v>2</v>
      </c>
      <c r="C13" s="440">
        <v>3</v>
      </c>
      <c r="D13" s="441">
        <v>4</v>
      </c>
      <c r="E13" s="460"/>
      <c r="F13" s="460"/>
      <c r="G13" s="460"/>
      <c r="H13" s="460"/>
      <c r="I13" s="460"/>
      <c r="J13" s="461"/>
      <c r="K13" s="461"/>
      <c r="L13" s="461"/>
      <c r="M13" s="455"/>
    </row>
    <row r="14" spans="1:13" ht="12.75">
      <c r="A14" s="73" t="s">
        <v>468</v>
      </c>
      <c r="B14" s="472" t="s">
        <v>469</v>
      </c>
      <c r="C14" s="442" t="s">
        <v>4</v>
      </c>
      <c r="D14" s="384">
        <v>159.36</v>
      </c>
      <c r="E14" s="25"/>
      <c r="F14" s="455"/>
      <c r="G14" s="455"/>
      <c r="H14" s="455"/>
      <c r="I14" s="25"/>
      <c r="J14" s="455"/>
      <c r="K14" s="455"/>
      <c r="L14" s="455"/>
      <c r="M14" s="455"/>
    </row>
    <row r="15" spans="1:13" ht="12.75">
      <c r="A15" s="445" t="s">
        <v>470</v>
      </c>
      <c r="B15" s="443" t="s">
        <v>471</v>
      </c>
      <c r="C15" s="444" t="s">
        <v>6</v>
      </c>
      <c r="D15" s="384">
        <v>5.3</v>
      </c>
      <c r="E15" s="456"/>
      <c r="F15" s="456"/>
      <c r="G15" s="456"/>
      <c r="H15" s="456"/>
      <c r="I15" s="456"/>
      <c r="J15" s="456"/>
      <c r="K15" s="456"/>
      <c r="L15" s="456"/>
      <c r="M15" s="455"/>
    </row>
    <row r="16" spans="1:13" ht="15" customHeight="1">
      <c r="A16" s="448" t="s">
        <v>472</v>
      </c>
      <c r="B16" s="446" t="s">
        <v>478</v>
      </c>
      <c r="C16" s="447" t="s">
        <v>4</v>
      </c>
      <c r="D16" s="449">
        <f>2.1*1.5*2*1.2*4</f>
        <v>30.240000000000002</v>
      </c>
      <c r="E16" s="456"/>
      <c r="F16" s="456"/>
      <c r="G16" s="456"/>
      <c r="H16" s="456"/>
      <c r="I16" s="456"/>
      <c r="J16" s="456"/>
      <c r="K16" s="456"/>
      <c r="L16" s="456"/>
      <c r="M16" s="455"/>
    </row>
    <row r="17" spans="1:13" ht="12.75">
      <c r="A17" s="448"/>
      <c r="B17" s="450" t="s">
        <v>473</v>
      </c>
      <c r="C17" s="447" t="s">
        <v>4</v>
      </c>
      <c r="D17" s="449">
        <v>1.2</v>
      </c>
      <c r="E17" s="456"/>
      <c r="F17" s="456"/>
      <c r="G17" s="456"/>
      <c r="H17" s="456"/>
      <c r="I17" s="456"/>
      <c r="J17" s="456"/>
      <c r="K17" s="456"/>
      <c r="L17" s="456"/>
      <c r="M17" s="455"/>
    </row>
    <row r="18" spans="1:13" ht="12.75">
      <c r="A18" s="448"/>
      <c r="B18" s="450" t="s">
        <v>486</v>
      </c>
      <c r="C18" s="447" t="s">
        <v>24</v>
      </c>
      <c r="D18" s="449">
        <f>D16*0.15</f>
        <v>4.5360000000000005</v>
      </c>
      <c r="E18" s="456"/>
      <c r="F18" s="456"/>
      <c r="G18" s="456"/>
      <c r="H18" s="456"/>
      <c r="I18" s="456"/>
      <c r="J18" s="456"/>
      <c r="K18" s="456"/>
      <c r="L18" s="456"/>
      <c r="M18" s="455"/>
    </row>
    <row r="19" spans="1:13" ht="12.75">
      <c r="A19" s="445"/>
      <c r="B19" s="451" t="s">
        <v>474</v>
      </c>
      <c r="C19" s="444" t="s">
        <v>17</v>
      </c>
      <c r="D19" s="384">
        <v>3</v>
      </c>
      <c r="E19" s="456"/>
      <c r="F19" s="456"/>
      <c r="G19" s="456"/>
      <c r="H19" s="456"/>
      <c r="I19" s="456"/>
      <c r="J19" s="456"/>
      <c r="K19" s="456"/>
      <c r="L19" s="456"/>
      <c r="M19" s="455"/>
    </row>
    <row r="20" spans="1:13" ht="12.75">
      <c r="A20" s="445"/>
      <c r="B20" s="451" t="s">
        <v>475</v>
      </c>
      <c r="C20" s="444" t="s">
        <v>17</v>
      </c>
      <c r="D20" s="384">
        <f>D16*0.35</f>
        <v>10.584</v>
      </c>
      <c r="E20" s="456"/>
      <c r="F20" s="456"/>
      <c r="G20" s="456"/>
      <c r="H20" s="456"/>
      <c r="I20" s="456"/>
      <c r="J20" s="456"/>
      <c r="K20" s="456"/>
      <c r="L20" s="456"/>
      <c r="M20" s="455"/>
    </row>
    <row r="21" spans="1:13" ht="13.5" thickBot="1">
      <c r="A21" s="376" t="s">
        <v>476</v>
      </c>
      <c r="B21" s="473" t="s">
        <v>477</v>
      </c>
      <c r="C21" s="452" t="s">
        <v>4</v>
      </c>
      <c r="D21" s="383">
        <v>129.99</v>
      </c>
      <c r="E21" s="455"/>
      <c r="F21" s="455"/>
      <c r="G21" s="455"/>
      <c r="H21" s="455"/>
      <c r="I21" s="455"/>
      <c r="J21" s="455"/>
      <c r="K21" s="455"/>
      <c r="L21" s="455"/>
      <c r="M21" s="455"/>
    </row>
    <row r="22" spans="1:13" ht="12.75">
      <c r="A22" s="488" t="s">
        <v>424</v>
      </c>
      <c r="B22" s="466" t="s">
        <v>375</v>
      </c>
      <c r="C22" s="464" t="s">
        <v>7</v>
      </c>
      <c r="D22" s="237">
        <v>172.8</v>
      </c>
      <c r="E22" s="455"/>
      <c r="F22" s="373"/>
      <c r="G22" s="373"/>
      <c r="H22" s="373"/>
      <c r="I22" s="373"/>
      <c r="J22" s="455"/>
      <c r="K22" s="455"/>
      <c r="L22" s="455"/>
      <c r="M22" s="455"/>
    </row>
    <row r="23" spans="1:13" ht="15.75">
      <c r="A23" s="488" t="s">
        <v>425</v>
      </c>
      <c r="B23" s="467" t="s">
        <v>376</v>
      </c>
      <c r="C23" s="464" t="s">
        <v>437</v>
      </c>
      <c r="D23" s="229">
        <v>172.8</v>
      </c>
      <c r="E23" s="455"/>
      <c r="F23" s="373"/>
      <c r="G23" s="373"/>
      <c r="H23" s="373"/>
      <c r="I23" s="373"/>
      <c r="J23" s="455"/>
      <c r="K23" s="455"/>
      <c r="L23" s="455"/>
      <c r="M23" s="373"/>
    </row>
    <row r="24" spans="1:13" ht="12.75">
      <c r="A24" s="70"/>
      <c r="B24" s="468" t="s">
        <v>377</v>
      </c>
      <c r="C24" s="464" t="s">
        <v>17</v>
      </c>
      <c r="D24" s="229">
        <f>D23*0.3</f>
        <v>51.84</v>
      </c>
      <c r="E24" s="455"/>
      <c r="F24" s="373"/>
      <c r="G24" s="373"/>
      <c r="H24" s="373"/>
      <c r="I24" s="373"/>
      <c r="J24" s="455"/>
      <c r="K24" s="455"/>
      <c r="L24" s="455"/>
      <c r="M24" s="456"/>
    </row>
    <row r="25" spans="1:13" ht="15" customHeight="1">
      <c r="A25" s="488" t="s">
        <v>426</v>
      </c>
      <c r="B25" s="467" t="s">
        <v>399</v>
      </c>
      <c r="C25" s="464" t="s">
        <v>437</v>
      </c>
      <c r="D25" s="229">
        <f>0.5*6*24</f>
        <v>72</v>
      </c>
      <c r="E25" s="455"/>
      <c r="F25" s="373"/>
      <c r="G25" s="373"/>
      <c r="H25" s="373"/>
      <c r="I25" s="373"/>
      <c r="J25" s="455"/>
      <c r="K25" s="455"/>
      <c r="L25" s="455"/>
      <c r="M25" s="453"/>
    </row>
    <row r="26" spans="1:13" ht="15.75">
      <c r="A26" s="70"/>
      <c r="B26" s="468" t="s">
        <v>485</v>
      </c>
      <c r="C26" s="464" t="s">
        <v>437</v>
      </c>
      <c r="D26" s="229">
        <f>D25*1.1</f>
        <v>79.2</v>
      </c>
      <c r="E26" s="455"/>
      <c r="F26" s="373"/>
      <c r="G26" s="373"/>
      <c r="H26" s="373"/>
      <c r="I26" s="373"/>
      <c r="J26" s="455"/>
      <c r="K26" s="455"/>
      <c r="L26" s="455"/>
      <c r="M26" s="453"/>
    </row>
    <row r="27" spans="1:13" ht="12.75">
      <c r="A27" s="70"/>
      <c r="B27" s="468" t="s">
        <v>378</v>
      </c>
      <c r="C27" s="464" t="s">
        <v>17</v>
      </c>
      <c r="D27" s="229">
        <f>D25*4</f>
        <v>288</v>
      </c>
      <c r="E27" s="455"/>
      <c r="F27" s="373"/>
      <c r="G27" s="373"/>
      <c r="H27" s="373"/>
      <c r="I27" s="373"/>
      <c r="J27" s="455"/>
      <c r="K27" s="455"/>
      <c r="L27" s="455"/>
      <c r="M27" s="453"/>
    </row>
    <row r="28" spans="1:13" ht="12.75">
      <c r="A28" s="70"/>
      <c r="B28" s="468" t="s">
        <v>379</v>
      </c>
      <c r="C28" s="464" t="s">
        <v>8</v>
      </c>
      <c r="D28" s="229">
        <f>D26*4</f>
        <v>316.8</v>
      </c>
      <c r="E28" s="455"/>
      <c r="F28" s="373"/>
      <c r="G28" s="373"/>
      <c r="H28" s="373"/>
      <c r="I28" s="373"/>
      <c r="J28" s="455"/>
      <c r="K28" s="455"/>
      <c r="L28" s="455"/>
      <c r="M28" s="453"/>
    </row>
    <row r="29" spans="1:13" ht="12.75">
      <c r="A29" s="70"/>
      <c r="B29" s="469" t="s">
        <v>380</v>
      </c>
      <c r="C29" s="465" t="s">
        <v>8</v>
      </c>
      <c r="D29" s="229">
        <f>D25</f>
        <v>72</v>
      </c>
      <c r="E29" s="455"/>
      <c r="F29" s="373"/>
      <c r="G29" s="373"/>
      <c r="H29" s="373"/>
      <c r="I29" s="373"/>
      <c r="J29" s="455"/>
      <c r="K29" s="455"/>
      <c r="L29" s="455"/>
      <c r="M29" s="453"/>
    </row>
    <row r="30" spans="1:13" ht="15.75">
      <c r="A30" s="488" t="s">
        <v>427</v>
      </c>
      <c r="B30" s="467" t="s">
        <v>381</v>
      </c>
      <c r="C30" s="464" t="s">
        <v>437</v>
      </c>
      <c r="D30" s="229">
        <f>D25</f>
        <v>72</v>
      </c>
      <c r="E30" s="455"/>
      <c r="F30" s="373"/>
      <c r="G30" s="373"/>
      <c r="H30" s="373"/>
      <c r="I30" s="373"/>
      <c r="J30" s="455"/>
      <c r="K30" s="455"/>
      <c r="L30" s="455"/>
      <c r="M30" s="453"/>
    </row>
    <row r="31" spans="1:13" ht="12.75">
      <c r="A31" s="70"/>
      <c r="B31" s="468" t="s">
        <v>108</v>
      </c>
      <c r="C31" s="464" t="s">
        <v>17</v>
      </c>
      <c r="D31" s="229">
        <f>D30*5</f>
        <v>360</v>
      </c>
      <c r="E31" s="455"/>
      <c r="F31" s="373"/>
      <c r="G31" s="373"/>
      <c r="H31" s="373"/>
      <c r="I31" s="373"/>
      <c r="J31" s="455"/>
      <c r="K31" s="455"/>
      <c r="L31" s="455"/>
      <c r="M31" s="453"/>
    </row>
    <row r="32" spans="1:13" ht="15.75">
      <c r="A32" s="70"/>
      <c r="B32" s="468" t="s">
        <v>382</v>
      </c>
      <c r="C32" s="464" t="s">
        <v>437</v>
      </c>
      <c r="D32" s="229">
        <f>D30*1.05</f>
        <v>75.60000000000001</v>
      </c>
      <c r="E32" s="455"/>
      <c r="F32" s="373"/>
      <c r="G32" s="373"/>
      <c r="H32" s="373"/>
      <c r="I32" s="373"/>
      <c r="J32" s="455"/>
      <c r="K32" s="455"/>
      <c r="L32" s="455"/>
      <c r="M32" s="453"/>
    </row>
    <row r="33" spans="1:13" ht="12.75">
      <c r="A33" s="70"/>
      <c r="B33" s="469" t="s">
        <v>383</v>
      </c>
      <c r="C33" s="465" t="s">
        <v>384</v>
      </c>
      <c r="D33" s="229">
        <f>D30*0.7</f>
        <v>50.4</v>
      </c>
      <c r="E33" s="455"/>
      <c r="F33" s="373"/>
      <c r="G33" s="373"/>
      <c r="H33" s="373"/>
      <c r="I33" s="373"/>
      <c r="J33" s="455"/>
      <c r="K33" s="455"/>
      <c r="L33" s="455"/>
      <c r="M33" s="453"/>
    </row>
    <row r="34" spans="1:13" ht="15.75">
      <c r="A34" s="488" t="s">
        <v>428</v>
      </c>
      <c r="B34" s="467" t="s">
        <v>400</v>
      </c>
      <c r="C34" s="464" t="s">
        <v>437</v>
      </c>
      <c r="D34" s="229">
        <f>D30</f>
        <v>72</v>
      </c>
      <c r="E34" s="373"/>
      <c r="F34" s="373"/>
      <c r="G34" s="373"/>
      <c r="H34" s="373"/>
      <c r="I34" s="373"/>
      <c r="J34" s="373"/>
      <c r="K34" s="373"/>
      <c r="L34" s="373"/>
      <c r="M34" s="453"/>
    </row>
    <row r="35" spans="1:13" ht="12.75">
      <c r="A35" s="70"/>
      <c r="B35" s="468" t="s">
        <v>377</v>
      </c>
      <c r="C35" s="464" t="s">
        <v>17</v>
      </c>
      <c r="D35" s="229">
        <f>0.2*D34</f>
        <v>14.4</v>
      </c>
      <c r="E35" s="453"/>
      <c r="F35" s="453"/>
      <c r="G35" s="454"/>
      <c r="H35" s="454"/>
      <c r="I35" s="454"/>
      <c r="J35" s="455"/>
      <c r="K35" s="455"/>
      <c r="L35" s="455"/>
      <c r="M35" s="453"/>
    </row>
    <row r="36" spans="1:13" ht="13.5" thickBot="1">
      <c r="A36" s="124"/>
      <c r="B36" s="470" t="s">
        <v>401</v>
      </c>
      <c r="C36" s="471" t="s">
        <v>17</v>
      </c>
      <c r="D36" s="232">
        <f>3.5*D34</f>
        <v>252</v>
      </c>
      <c r="E36" s="454"/>
      <c r="F36" s="454"/>
      <c r="G36" s="454"/>
      <c r="H36" s="454"/>
      <c r="I36" s="454"/>
      <c r="J36" s="455"/>
      <c r="K36" s="455"/>
      <c r="L36" s="455"/>
      <c r="M36" s="453"/>
    </row>
    <row r="37" spans="1:13" ht="12.75">
      <c r="A37" s="489"/>
      <c r="B37" s="487" t="s">
        <v>479</v>
      </c>
      <c r="C37" s="486"/>
      <c r="D37" s="486"/>
      <c r="E37" s="454"/>
      <c r="F37" s="454"/>
      <c r="G37" s="454"/>
      <c r="H37" s="454"/>
      <c r="I37" s="454"/>
      <c r="J37" s="455"/>
      <c r="K37" s="455"/>
      <c r="L37" s="455"/>
      <c r="M37" s="453"/>
    </row>
    <row r="38" spans="1:13" ht="25.5">
      <c r="A38" s="312"/>
      <c r="B38" s="476" t="s">
        <v>408</v>
      </c>
      <c r="C38" s="477" t="s">
        <v>10</v>
      </c>
      <c r="D38" s="478">
        <v>8</v>
      </c>
      <c r="E38" s="454"/>
      <c r="F38" s="454"/>
      <c r="G38" s="454"/>
      <c r="H38" s="454"/>
      <c r="I38" s="454"/>
      <c r="J38" s="455"/>
      <c r="K38" s="455"/>
      <c r="L38" s="455"/>
      <c r="M38" s="453"/>
    </row>
    <row r="39" spans="1:13" ht="12.75">
      <c r="A39" s="312"/>
      <c r="B39" s="476" t="s">
        <v>484</v>
      </c>
      <c r="C39" s="477" t="s">
        <v>10</v>
      </c>
      <c r="D39" s="478">
        <v>2</v>
      </c>
      <c r="E39" s="454"/>
      <c r="F39" s="454"/>
      <c r="G39" s="454"/>
      <c r="H39" s="454"/>
      <c r="I39" s="454"/>
      <c r="J39" s="455"/>
      <c r="K39" s="455"/>
      <c r="L39" s="455"/>
      <c r="M39" s="453"/>
    </row>
    <row r="40" ht="12.75"/>
    <row r="41" spans="1:2" ht="12.75">
      <c r="A41" s="3"/>
      <c r="B41" s="4"/>
    </row>
    <row r="42" spans="1:2" ht="12.75">
      <c r="A42" s="5"/>
      <c r="B42" s="4"/>
    </row>
    <row r="43" spans="1:2" ht="12.75">
      <c r="A43" s="5"/>
      <c r="B43" s="4"/>
    </row>
    <row r="44" spans="1:2" ht="12.75">
      <c r="A44" s="5"/>
      <c r="B44" s="4"/>
    </row>
    <row r="45" spans="1:4" ht="12.75">
      <c r="A45" s="10"/>
      <c r="B45" s="10"/>
      <c r="C45" s="463"/>
      <c r="D45" s="463"/>
    </row>
    <row r="46" spans="1:4" ht="12.75">
      <c r="A46" s="560"/>
      <c r="B46" s="561"/>
      <c r="C46" s="463"/>
      <c r="D46" s="463"/>
    </row>
    <row r="47" spans="1:4" ht="12.75">
      <c r="A47" s="463"/>
      <c r="B47" s="562"/>
      <c r="C47" s="463"/>
      <c r="D47" s="463"/>
    </row>
    <row r="48" spans="1:4" ht="12.75">
      <c r="A48" s="463"/>
      <c r="B48" s="562"/>
      <c r="C48" s="463"/>
      <c r="D48" s="463"/>
    </row>
    <row r="49" spans="1:4" ht="12.75">
      <c r="A49" s="463"/>
      <c r="B49" s="562"/>
      <c r="C49" s="463"/>
      <c r="D49" s="463"/>
    </row>
    <row r="50" spans="1:4" ht="12.75">
      <c r="A50" s="463"/>
      <c r="B50" s="562"/>
      <c r="C50" s="463"/>
      <c r="D50" s="463"/>
    </row>
    <row r="51" spans="1:4" ht="12.75">
      <c r="A51" s="463"/>
      <c r="B51" s="562"/>
      <c r="C51" s="463"/>
      <c r="D51" s="463"/>
    </row>
    <row r="52" spans="1:4" ht="12.75">
      <c r="A52" s="463"/>
      <c r="B52" s="562"/>
      <c r="C52" s="463"/>
      <c r="D52" s="463"/>
    </row>
    <row r="53" spans="1:4" ht="12.75">
      <c r="A53" s="463"/>
      <c r="B53" s="562"/>
      <c r="C53" s="463"/>
      <c r="D53" s="463"/>
    </row>
    <row r="54" spans="1:4" ht="12.75">
      <c r="A54" s="463"/>
      <c r="B54" s="562"/>
      <c r="C54" s="463"/>
      <c r="D54" s="463"/>
    </row>
    <row r="55" spans="1:4" ht="12.75">
      <c r="A55" s="463"/>
      <c r="B55" s="562"/>
      <c r="C55" s="463"/>
      <c r="D55" s="463"/>
    </row>
    <row r="56" spans="1:4" ht="12.75">
      <c r="A56" s="463"/>
      <c r="B56" s="562"/>
      <c r="C56" s="463"/>
      <c r="D56" s="463"/>
    </row>
    <row r="57" spans="1:4" ht="12.75">
      <c r="A57" s="463"/>
      <c r="B57" s="562"/>
      <c r="C57" s="463"/>
      <c r="D57" s="463"/>
    </row>
    <row r="58" spans="1:4" ht="12.75">
      <c r="A58" s="463"/>
      <c r="B58" s="562"/>
      <c r="C58" s="463"/>
      <c r="D58" s="463"/>
    </row>
    <row r="59" spans="1:4" ht="12.75">
      <c r="A59" s="463"/>
      <c r="B59" s="562"/>
      <c r="C59" s="463"/>
      <c r="D59" s="463"/>
    </row>
    <row r="60" spans="1:4" ht="12.75">
      <c r="A60" s="463"/>
      <c r="B60" s="562"/>
      <c r="C60" s="463"/>
      <c r="D60" s="463"/>
    </row>
    <row r="61" spans="1:4" ht="12.75">
      <c r="A61" s="463"/>
      <c r="B61" s="562"/>
      <c r="C61" s="463"/>
      <c r="D61" s="463"/>
    </row>
    <row r="62" spans="1:4" ht="12.75">
      <c r="A62" s="463"/>
      <c r="B62" s="562"/>
      <c r="C62" s="463"/>
      <c r="D62" s="463"/>
    </row>
    <row r="63" spans="1:4" ht="12.75">
      <c r="A63" s="463"/>
      <c r="B63" s="562"/>
      <c r="C63" s="463"/>
      <c r="D63" s="463"/>
    </row>
    <row r="64" spans="1:4" ht="12.75">
      <c r="A64" s="463"/>
      <c r="B64" s="562"/>
      <c r="C64" s="463"/>
      <c r="D64" s="463"/>
    </row>
    <row r="65" spans="1:4" ht="12.75">
      <c r="A65" s="463"/>
      <c r="B65" s="562"/>
      <c r="C65" s="463"/>
      <c r="D65" s="463"/>
    </row>
    <row r="66" spans="1:4" ht="12.75">
      <c r="A66" s="463"/>
      <c r="B66" s="562"/>
      <c r="C66" s="463"/>
      <c r="D66" s="463"/>
    </row>
    <row r="67" spans="1:4" ht="12.75">
      <c r="A67" s="463"/>
      <c r="B67" s="562"/>
      <c r="C67" s="463"/>
      <c r="D67" s="463"/>
    </row>
    <row r="68" spans="1:4" ht="12.75">
      <c r="A68" s="463"/>
      <c r="B68" s="562"/>
      <c r="C68" s="463"/>
      <c r="D68" s="463"/>
    </row>
    <row r="69" spans="1:4" ht="12.75">
      <c r="A69" s="463"/>
      <c r="B69" s="562"/>
      <c r="C69" s="463"/>
      <c r="D69" s="463"/>
    </row>
    <row r="70" spans="1:4" ht="12.75">
      <c r="A70" s="463"/>
      <c r="B70" s="562"/>
      <c r="C70" s="463"/>
      <c r="D70" s="463"/>
    </row>
    <row r="71" spans="1:4" ht="12.75">
      <c r="A71" s="463"/>
      <c r="B71" s="562"/>
      <c r="C71" s="463"/>
      <c r="D71" s="463"/>
    </row>
    <row r="72" spans="1:4" ht="12.75">
      <c r="A72" s="463"/>
      <c r="B72" s="562"/>
      <c r="C72" s="463"/>
      <c r="D72" s="463"/>
    </row>
    <row r="73" spans="1:4" ht="12.75">
      <c r="A73" s="463"/>
      <c r="B73" s="562"/>
      <c r="C73" s="463"/>
      <c r="D73" s="463"/>
    </row>
    <row r="74" spans="1:4" ht="12.75">
      <c r="A74" s="463"/>
      <c r="B74" s="562"/>
      <c r="C74" s="463"/>
      <c r="D74" s="463"/>
    </row>
    <row r="75" spans="1:4" ht="12.75">
      <c r="A75" s="463"/>
      <c r="B75" s="562"/>
      <c r="C75" s="463"/>
      <c r="D75" s="463"/>
    </row>
    <row r="76" spans="1:4" ht="12.75">
      <c r="A76" s="463"/>
      <c r="B76" s="562"/>
      <c r="C76" s="463"/>
      <c r="D76" s="463"/>
    </row>
    <row r="77" spans="1:4" ht="12.75">
      <c r="A77" s="463"/>
      <c r="B77" s="562"/>
      <c r="C77" s="463"/>
      <c r="D77" s="463"/>
    </row>
    <row r="78" spans="1:4" ht="12.75">
      <c r="A78" s="463"/>
      <c r="B78" s="562"/>
      <c r="C78" s="463"/>
      <c r="D78" s="463"/>
    </row>
    <row r="79" spans="1:4" ht="12.75">
      <c r="A79" s="463"/>
      <c r="B79" s="562"/>
      <c r="C79" s="463"/>
      <c r="D79" s="463"/>
    </row>
    <row r="80" spans="1:4" ht="12.75">
      <c r="A80" s="463"/>
      <c r="B80" s="562"/>
      <c r="C80" s="463"/>
      <c r="D80" s="463"/>
    </row>
    <row r="81" spans="1:4" ht="12.75">
      <c r="A81" s="463"/>
      <c r="B81" s="562"/>
      <c r="C81" s="463"/>
      <c r="D81" s="463"/>
    </row>
    <row r="82" spans="1:4" ht="12.75">
      <c r="A82" s="463"/>
      <c r="B82" s="562"/>
      <c r="C82" s="463"/>
      <c r="D82" s="463"/>
    </row>
    <row r="83" spans="1:4" ht="12.75">
      <c r="A83" s="463"/>
      <c r="B83" s="562"/>
      <c r="C83" s="463"/>
      <c r="D83" s="463"/>
    </row>
    <row r="84" spans="1:4" ht="12.75">
      <c r="A84" s="463"/>
      <c r="B84" s="562"/>
      <c r="C84" s="463"/>
      <c r="D84" s="463"/>
    </row>
    <row r="85" spans="1:4" ht="12.75">
      <c r="A85" s="463"/>
      <c r="B85" s="562"/>
      <c r="C85" s="463"/>
      <c r="D85" s="463"/>
    </row>
    <row r="86" spans="1:4" ht="12.75">
      <c r="A86" s="463"/>
      <c r="B86" s="562"/>
      <c r="C86" s="463"/>
      <c r="D86" s="463"/>
    </row>
    <row r="87" spans="1:4" ht="12.75">
      <c r="A87" s="463"/>
      <c r="B87" s="562"/>
      <c r="C87" s="463"/>
      <c r="D87" s="463"/>
    </row>
    <row r="88" spans="1:4" ht="12.75">
      <c r="A88" s="463"/>
      <c r="B88" s="562"/>
      <c r="C88" s="463"/>
      <c r="D88" s="463"/>
    </row>
    <row r="89" spans="1:4" ht="12.75">
      <c r="A89" s="463"/>
      <c r="B89" s="562"/>
      <c r="C89" s="463"/>
      <c r="D89" s="463"/>
    </row>
    <row r="90" spans="1:4" ht="12.75">
      <c r="A90" s="463"/>
      <c r="B90" s="562"/>
      <c r="C90" s="463"/>
      <c r="D90" s="463"/>
    </row>
    <row r="91" spans="1:4" ht="12.75">
      <c r="A91" s="463"/>
      <c r="B91" s="562"/>
      <c r="C91" s="463"/>
      <c r="D91" s="463"/>
    </row>
    <row r="92" spans="1:4" ht="12.75">
      <c r="A92" s="463"/>
      <c r="B92" s="562"/>
      <c r="C92" s="463"/>
      <c r="D92" s="463"/>
    </row>
    <row r="93" spans="1:4" ht="12.75">
      <c r="A93" s="463"/>
      <c r="B93" s="562"/>
      <c r="C93" s="463"/>
      <c r="D93" s="463"/>
    </row>
    <row r="94" spans="1:4" ht="12.75">
      <c r="A94" s="463"/>
      <c r="B94" s="562"/>
      <c r="C94" s="463"/>
      <c r="D94" s="463"/>
    </row>
    <row r="95" spans="1:4" ht="12.75">
      <c r="A95" s="463"/>
      <c r="B95" s="562"/>
      <c r="C95" s="463"/>
      <c r="D95" s="463"/>
    </row>
    <row r="96" spans="1:4" ht="12.75">
      <c r="A96" s="463"/>
      <c r="B96" s="562"/>
      <c r="C96" s="463"/>
      <c r="D96" s="463"/>
    </row>
    <row r="97" spans="1:4" ht="12.75">
      <c r="A97" s="463"/>
      <c r="B97" s="562"/>
      <c r="C97" s="463"/>
      <c r="D97" s="463"/>
    </row>
    <row r="98" spans="1:4" ht="12.75">
      <c r="A98" s="463"/>
      <c r="B98" s="562"/>
      <c r="C98" s="463"/>
      <c r="D98" s="463"/>
    </row>
    <row r="99" spans="1:4" ht="12.75">
      <c r="A99" s="463"/>
      <c r="B99" s="562"/>
      <c r="C99" s="463"/>
      <c r="D99" s="463"/>
    </row>
    <row r="100" spans="1:4" ht="12.75">
      <c r="A100" s="463"/>
      <c r="B100" s="562"/>
      <c r="C100" s="463"/>
      <c r="D100" s="463"/>
    </row>
    <row r="101" spans="1:4" ht="12.75">
      <c r="A101" s="463"/>
      <c r="B101" s="562"/>
      <c r="C101" s="463"/>
      <c r="D101" s="463"/>
    </row>
    <row r="102" spans="1:4" ht="12.75">
      <c r="A102" s="463"/>
      <c r="B102" s="562"/>
      <c r="C102" s="463"/>
      <c r="D102" s="463"/>
    </row>
    <row r="103" spans="1:4" ht="12.75">
      <c r="A103" s="463"/>
      <c r="B103" s="562"/>
      <c r="C103" s="463"/>
      <c r="D103" s="463"/>
    </row>
    <row r="104" spans="1:4" ht="12.75">
      <c r="A104" s="463"/>
      <c r="B104" s="562"/>
      <c r="C104" s="463"/>
      <c r="D104" s="463"/>
    </row>
    <row r="105" spans="1:4" ht="12.75">
      <c r="A105" s="463"/>
      <c r="B105" s="562"/>
      <c r="C105" s="463"/>
      <c r="D105" s="463"/>
    </row>
    <row r="106" spans="1:4" ht="12.75">
      <c r="A106" s="463"/>
      <c r="B106" s="562"/>
      <c r="C106" s="463"/>
      <c r="D106" s="463"/>
    </row>
    <row r="107" spans="1:4" ht="12.75">
      <c r="A107" s="463"/>
      <c r="B107" s="562"/>
      <c r="C107" s="463"/>
      <c r="D107" s="463"/>
    </row>
    <row r="108" spans="1:4" ht="12.75">
      <c r="A108" s="463"/>
      <c r="B108" s="562"/>
      <c r="C108" s="463"/>
      <c r="D108" s="463"/>
    </row>
    <row r="109" spans="1:4" ht="12.75">
      <c r="A109" s="463"/>
      <c r="B109" s="562"/>
      <c r="C109" s="463"/>
      <c r="D109" s="463"/>
    </row>
    <row r="110" spans="1:4" ht="12.75">
      <c r="A110" s="463"/>
      <c r="B110" s="562"/>
      <c r="C110" s="463"/>
      <c r="D110" s="463"/>
    </row>
    <row r="111" spans="1:4" ht="12.75">
      <c r="A111" s="463"/>
      <c r="B111" s="562"/>
      <c r="C111" s="463"/>
      <c r="D111" s="463"/>
    </row>
    <row r="112" spans="1:4" ht="12.75">
      <c r="A112" s="463"/>
      <c r="B112" s="562"/>
      <c r="C112" s="463"/>
      <c r="D112" s="463"/>
    </row>
    <row r="113" spans="1:4" ht="12.75">
      <c r="A113" s="463"/>
      <c r="B113" s="562"/>
      <c r="C113" s="463"/>
      <c r="D113" s="463"/>
    </row>
    <row r="114" spans="1:4" ht="12.75">
      <c r="A114" s="463"/>
      <c r="B114" s="562"/>
      <c r="C114" s="463"/>
      <c r="D114" s="463"/>
    </row>
    <row r="115" spans="1:4" ht="12.75">
      <c r="A115" s="463"/>
      <c r="B115" s="562"/>
      <c r="C115" s="463"/>
      <c r="D115" s="463"/>
    </row>
    <row r="116" spans="1:4" ht="12.75">
      <c r="A116" s="463"/>
      <c r="B116" s="562"/>
      <c r="C116" s="463"/>
      <c r="D116" s="463"/>
    </row>
    <row r="117" spans="1:4" ht="12.75">
      <c r="A117" s="463"/>
      <c r="B117" s="562"/>
      <c r="C117" s="463"/>
      <c r="D117" s="463"/>
    </row>
    <row r="118" spans="1:4" ht="12.75">
      <c r="A118" s="463"/>
      <c r="B118" s="562"/>
      <c r="C118" s="463"/>
      <c r="D118" s="463"/>
    </row>
    <row r="119" spans="1:4" ht="12.75">
      <c r="A119" s="463"/>
      <c r="B119" s="562"/>
      <c r="C119" s="463"/>
      <c r="D119" s="463"/>
    </row>
    <row r="120" spans="1:4" ht="12.75">
      <c r="A120" s="463"/>
      <c r="B120" s="562"/>
      <c r="C120" s="463"/>
      <c r="D120" s="463"/>
    </row>
    <row r="121" spans="1:4" ht="12.75">
      <c r="A121" s="463"/>
      <c r="B121" s="562"/>
      <c r="C121" s="463"/>
      <c r="D121" s="463"/>
    </row>
    <row r="122" spans="1:4" ht="12.75">
      <c r="A122" s="463"/>
      <c r="B122" s="562"/>
      <c r="C122" s="463"/>
      <c r="D122" s="463"/>
    </row>
    <row r="123" spans="1:4" ht="12.75">
      <c r="A123" s="463"/>
      <c r="B123" s="562"/>
      <c r="C123" s="463"/>
      <c r="D123" s="463"/>
    </row>
    <row r="124" spans="1:4" ht="12.75">
      <c r="A124" s="463"/>
      <c r="B124" s="562"/>
      <c r="C124" s="463"/>
      <c r="D124" s="463"/>
    </row>
    <row r="125" spans="1:4" ht="12.75">
      <c r="A125" s="463"/>
      <c r="B125" s="562"/>
      <c r="C125" s="463"/>
      <c r="D125" s="463"/>
    </row>
    <row r="126" spans="1:4" ht="12.75">
      <c r="A126" s="463"/>
      <c r="B126" s="562"/>
      <c r="C126" s="463"/>
      <c r="D126" s="463"/>
    </row>
    <row r="127" spans="1:4" ht="12.75">
      <c r="A127" s="463"/>
      <c r="B127" s="562"/>
      <c r="C127" s="463"/>
      <c r="D127" s="463"/>
    </row>
    <row r="128" spans="1:4" ht="12.75">
      <c r="A128" s="463"/>
      <c r="B128" s="562"/>
      <c r="C128" s="463"/>
      <c r="D128" s="463"/>
    </row>
    <row r="129" spans="1:4" ht="12.75">
      <c r="A129" s="463"/>
      <c r="B129" s="562"/>
      <c r="C129" s="463"/>
      <c r="D129" s="463"/>
    </row>
    <row r="130" spans="1:4" ht="12.75">
      <c r="A130" s="463"/>
      <c r="B130" s="562"/>
      <c r="C130" s="463"/>
      <c r="D130" s="463"/>
    </row>
    <row r="131" spans="1:4" ht="12.75">
      <c r="A131" s="463"/>
      <c r="B131" s="562"/>
      <c r="C131" s="463"/>
      <c r="D131" s="463"/>
    </row>
    <row r="132" spans="1:4" ht="12.75">
      <c r="A132" s="463"/>
      <c r="B132" s="562"/>
      <c r="C132" s="463"/>
      <c r="D132" s="463"/>
    </row>
    <row r="133" spans="1:4" ht="12.75">
      <c r="A133" s="463"/>
      <c r="B133" s="562"/>
      <c r="C133" s="463"/>
      <c r="D133" s="463"/>
    </row>
    <row r="134" spans="1:4" ht="12.75">
      <c r="A134" s="463"/>
      <c r="B134" s="562"/>
      <c r="C134" s="463"/>
      <c r="D134" s="463"/>
    </row>
    <row r="135" spans="1:4" ht="12.75">
      <c r="A135" s="463"/>
      <c r="B135" s="562"/>
      <c r="C135" s="463"/>
      <c r="D135" s="463"/>
    </row>
    <row r="136" spans="1:4" ht="12.75">
      <c r="A136" s="463"/>
      <c r="B136" s="562"/>
      <c r="C136" s="463"/>
      <c r="D136" s="463"/>
    </row>
    <row r="137" spans="1:4" ht="12.75">
      <c r="A137" s="463"/>
      <c r="B137" s="562"/>
      <c r="C137" s="463"/>
      <c r="D137" s="463"/>
    </row>
    <row r="138" spans="1:4" ht="12.75">
      <c r="A138" s="463"/>
      <c r="B138" s="562"/>
      <c r="C138" s="463"/>
      <c r="D138" s="463"/>
    </row>
    <row r="139" spans="1:4" ht="12.75">
      <c r="A139" s="463"/>
      <c r="B139" s="562"/>
      <c r="C139" s="463"/>
      <c r="D139" s="463"/>
    </row>
    <row r="140" spans="1:4" ht="12.75">
      <c r="A140" s="463"/>
      <c r="B140" s="562"/>
      <c r="C140" s="463"/>
      <c r="D140" s="463"/>
    </row>
    <row r="141" spans="1:4" ht="12.75">
      <c r="A141" s="463"/>
      <c r="B141" s="562"/>
      <c r="C141" s="463"/>
      <c r="D141" s="463"/>
    </row>
    <row r="142" spans="1:4" ht="12.75">
      <c r="A142" s="463"/>
      <c r="B142" s="562"/>
      <c r="C142" s="463"/>
      <c r="D142" s="463"/>
    </row>
    <row r="143" spans="1:4" ht="12.75">
      <c r="A143" s="463"/>
      <c r="B143" s="562"/>
      <c r="C143" s="463"/>
      <c r="D143" s="463"/>
    </row>
    <row r="144" spans="1:4" ht="12.75">
      <c r="A144" s="463"/>
      <c r="B144" s="562"/>
      <c r="C144" s="463"/>
      <c r="D144" s="463"/>
    </row>
    <row r="145" spans="1:4" ht="12.75">
      <c r="A145" s="463"/>
      <c r="B145" s="562"/>
      <c r="C145" s="463"/>
      <c r="D145" s="463"/>
    </row>
    <row r="146" spans="1:4" ht="12.75">
      <c r="A146" s="463"/>
      <c r="B146" s="562"/>
      <c r="C146" s="463"/>
      <c r="D146" s="463"/>
    </row>
    <row r="147" spans="1:4" ht="12.75">
      <c r="A147" s="463"/>
      <c r="B147" s="562"/>
      <c r="C147" s="463"/>
      <c r="D147" s="463"/>
    </row>
    <row r="148" spans="1:4" ht="12.75">
      <c r="A148" s="463"/>
      <c r="B148" s="562"/>
      <c r="C148" s="463"/>
      <c r="D148" s="463"/>
    </row>
    <row r="149" spans="1:4" ht="12.75">
      <c r="A149" s="463"/>
      <c r="B149" s="562"/>
      <c r="C149" s="463"/>
      <c r="D149" s="463"/>
    </row>
  </sheetData>
  <sheetProtection/>
  <mergeCells count="16">
    <mergeCell ref="A10:B12"/>
    <mergeCell ref="C10:C12"/>
    <mergeCell ref="D10:D12"/>
    <mergeCell ref="E10:I10"/>
    <mergeCell ref="J10:K10"/>
    <mergeCell ref="C9:D9"/>
    <mergeCell ref="L10:L12"/>
    <mergeCell ref="A2:D2"/>
    <mergeCell ref="A1:L1"/>
    <mergeCell ref="K11:K12"/>
    <mergeCell ref="E11:E12"/>
    <mergeCell ref="F11:F12"/>
    <mergeCell ref="G11:G12"/>
    <mergeCell ref="H11:H12"/>
    <mergeCell ref="I11:I12"/>
    <mergeCell ref="J11:J12"/>
  </mergeCells>
  <conditionalFormatting sqref="C12 A13:D13">
    <cfRule type="expression" priority="1" dxfId="0" stopIfTrue="1">
      <formula>#REF!=""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86"/>
  <sheetViews>
    <sheetView zoomScale="80" zoomScaleNormal="80" zoomScalePageLayoutView="0" workbookViewId="0" topLeftCell="A253">
      <selection activeCell="S268" sqref="S268"/>
    </sheetView>
  </sheetViews>
  <sheetFormatPr defaultColWidth="9.00390625" defaultRowHeight="12.75"/>
  <cols>
    <col min="1" max="1" width="4.75390625" style="7" customWidth="1"/>
    <col min="2" max="2" width="36.125" style="7" customWidth="1"/>
    <col min="3" max="3" width="8.75390625" style="7" customWidth="1"/>
    <col min="4" max="4" width="8.625" style="285" customWidth="1"/>
    <col min="5" max="5" width="6.875" style="7" customWidth="1"/>
    <col min="6" max="6" width="38.125" style="7" customWidth="1"/>
    <col min="7" max="8" width="8.00390625" style="7" customWidth="1"/>
    <col min="9" max="9" width="6.875" style="7" customWidth="1"/>
    <col min="10" max="10" width="7.375" style="7" customWidth="1"/>
    <col min="11" max="11" width="7.625" style="7" customWidth="1"/>
    <col min="12" max="12" width="8.75390625" style="7" customWidth="1"/>
    <col min="13" max="13" width="7.75390625" style="7" customWidth="1"/>
    <col min="14" max="14" width="9.125" style="7" customWidth="1"/>
    <col min="15" max="15" width="9.375" style="7" customWidth="1"/>
    <col min="16" max="17" width="9.25390625" style="7" customWidth="1"/>
    <col min="18" max="18" width="8.25390625" style="7" customWidth="1"/>
    <col min="19" max="19" width="11.00390625" style="7" customWidth="1"/>
    <col min="20" max="20" width="7.875" style="7" hidden="1" customWidth="1"/>
    <col min="21" max="24" width="0" style="7" hidden="1" customWidth="1"/>
    <col min="25" max="25" width="8.00390625" style="7" hidden="1" customWidth="1"/>
    <col min="26" max="26" width="9.00390625" style="7" hidden="1" customWidth="1"/>
    <col min="27" max="35" width="0" style="7" hidden="1" customWidth="1"/>
    <col min="36" max="16384" width="9.125" style="7" customWidth="1"/>
  </cols>
  <sheetData>
    <row r="1" spans="1:27" ht="12.75">
      <c r="A1" s="518" t="s">
        <v>385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6"/>
      <c r="U1" s="6"/>
      <c r="V1" s="6"/>
      <c r="W1" s="6"/>
      <c r="X1" s="6"/>
      <c r="Y1" s="6"/>
      <c r="Z1" s="6"/>
      <c r="AA1" s="6"/>
    </row>
    <row r="2" spans="1:19" ht="12.75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</row>
    <row r="3" spans="1:19" ht="12.75">
      <c r="A3" s="8"/>
      <c r="B3" s="9" t="s">
        <v>319</v>
      </c>
      <c r="C3" s="10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2:18" ht="12.75">
      <c r="B4" s="7" t="s">
        <v>320</v>
      </c>
      <c r="P4" s="11"/>
      <c r="Q4" s="12"/>
      <c r="R4" s="12"/>
    </row>
    <row r="5" spans="1:15" ht="12.75">
      <c r="A5" s="11"/>
      <c r="B5" s="521" t="s">
        <v>321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</row>
    <row r="6" spans="1:19" ht="12.75">
      <c r="A6" s="11"/>
      <c r="B6" s="13" t="s">
        <v>318</v>
      </c>
      <c r="C6" s="13"/>
      <c r="D6" s="28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6"/>
      <c r="Q6" s="6"/>
      <c r="R6" s="520"/>
      <c r="S6" s="520"/>
    </row>
    <row r="7" spans="1:19" ht="14.25">
      <c r="A7" s="11"/>
      <c r="B7" s="521" t="s">
        <v>353</v>
      </c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14"/>
      <c r="Q7" s="14"/>
      <c r="R7" s="519"/>
      <c r="S7" s="519"/>
    </row>
    <row r="8" ht="12.75">
      <c r="B8" s="15" t="s">
        <v>361</v>
      </c>
    </row>
    <row r="9" ht="12.75">
      <c r="B9" s="15"/>
    </row>
    <row r="10" spans="1:35" ht="13.5" thickBot="1">
      <c r="A10" s="52"/>
      <c r="B10" s="51" t="s">
        <v>433</v>
      </c>
      <c r="C10" s="52"/>
      <c r="D10" s="287"/>
      <c r="E10" s="53"/>
      <c r="F10" s="51" t="s">
        <v>434</v>
      </c>
      <c r="G10" s="52"/>
      <c r="H10" s="52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</row>
    <row r="11" spans="1:35" s="16" customFormat="1" ht="41.25" customHeight="1" thickBot="1">
      <c r="A11" s="542" t="s">
        <v>0</v>
      </c>
      <c r="B11" s="533" t="s">
        <v>1</v>
      </c>
      <c r="C11" s="536" t="s">
        <v>322</v>
      </c>
      <c r="D11" s="539" t="s">
        <v>323</v>
      </c>
      <c r="E11" s="530" t="s">
        <v>0</v>
      </c>
      <c r="F11" s="533" t="s">
        <v>1</v>
      </c>
      <c r="G11" s="536" t="s">
        <v>322</v>
      </c>
      <c r="H11" s="539" t="s">
        <v>323</v>
      </c>
      <c r="I11" s="555" t="s">
        <v>324</v>
      </c>
      <c r="J11" s="555"/>
      <c r="K11" s="555"/>
      <c r="L11" s="555"/>
      <c r="M11" s="555"/>
      <c r="N11" s="555"/>
      <c r="O11" s="523" t="s">
        <v>325</v>
      </c>
      <c r="P11" s="524"/>
      <c r="Q11" s="524"/>
      <c r="R11" s="524"/>
      <c r="S11" s="525"/>
      <c r="T11" s="546" t="s">
        <v>374</v>
      </c>
      <c r="U11" s="546"/>
      <c r="V11" s="546"/>
      <c r="W11" s="546"/>
      <c r="X11" s="547"/>
      <c r="Y11" s="510" t="s">
        <v>344</v>
      </c>
      <c r="Z11" s="511"/>
      <c r="AA11" s="550" t="s">
        <v>345</v>
      </c>
      <c r="AB11" s="43"/>
      <c r="AC11" s="43"/>
      <c r="AD11" s="43"/>
      <c r="AE11" s="43"/>
      <c r="AF11" s="43"/>
      <c r="AG11" s="43"/>
      <c r="AH11" s="43"/>
      <c r="AI11" s="43"/>
    </row>
    <row r="12" spans="1:35" s="16" customFormat="1" ht="12.75">
      <c r="A12" s="543"/>
      <c r="B12" s="534"/>
      <c r="C12" s="537"/>
      <c r="D12" s="540"/>
      <c r="E12" s="531"/>
      <c r="F12" s="534"/>
      <c r="G12" s="537"/>
      <c r="H12" s="540"/>
      <c r="I12" s="558" t="s">
        <v>326</v>
      </c>
      <c r="J12" s="526" t="s">
        <v>327</v>
      </c>
      <c r="K12" s="526" t="s">
        <v>328</v>
      </c>
      <c r="L12" s="526" t="s">
        <v>329</v>
      </c>
      <c r="M12" s="528" t="s">
        <v>330</v>
      </c>
      <c r="N12" s="528" t="s">
        <v>331</v>
      </c>
      <c r="O12" s="556" t="s">
        <v>332</v>
      </c>
      <c r="P12" s="526" t="s">
        <v>328</v>
      </c>
      <c r="Q12" s="526" t="s">
        <v>333</v>
      </c>
      <c r="R12" s="528" t="s">
        <v>334</v>
      </c>
      <c r="S12" s="548" t="s">
        <v>335</v>
      </c>
      <c r="T12" s="553" t="s">
        <v>323</v>
      </c>
      <c r="U12" s="514" t="s">
        <v>346</v>
      </c>
      <c r="V12" s="514" t="s">
        <v>347</v>
      </c>
      <c r="W12" s="514" t="s">
        <v>348</v>
      </c>
      <c r="X12" s="516" t="s">
        <v>349</v>
      </c>
      <c r="Y12" s="508" t="s">
        <v>323</v>
      </c>
      <c r="Z12" s="512" t="s">
        <v>349</v>
      </c>
      <c r="AA12" s="551"/>
      <c r="AB12" s="43"/>
      <c r="AC12" s="43"/>
      <c r="AD12" s="43"/>
      <c r="AE12" s="43"/>
      <c r="AF12" s="43"/>
      <c r="AG12" s="43"/>
      <c r="AH12" s="43"/>
      <c r="AI12" s="43"/>
    </row>
    <row r="13" spans="1:35" s="16" customFormat="1" ht="84" customHeight="1" thickBot="1">
      <c r="A13" s="544"/>
      <c r="B13" s="535"/>
      <c r="C13" s="538"/>
      <c r="D13" s="541"/>
      <c r="E13" s="532"/>
      <c r="F13" s="535"/>
      <c r="G13" s="538"/>
      <c r="H13" s="541"/>
      <c r="I13" s="559"/>
      <c r="J13" s="527"/>
      <c r="K13" s="527"/>
      <c r="L13" s="527"/>
      <c r="M13" s="529"/>
      <c r="N13" s="529"/>
      <c r="O13" s="557"/>
      <c r="P13" s="527"/>
      <c r="Q13" s="527"/>
      <c r="R13" s="529"/>
      <c r="S13" s="549"/>
      <c r="T13" s="554"/>
      <c r="U13" s="515"/>
      <c r="V13" s="515"/>
      <c r="W13" s="515"/>
      <c r="X13" s="517"/>
      <c r="Y13" s="509"/>
      <c r="Z13" s="513"/>
      <c r="AA13" s="552"/>
      <c r="AB13" s="43"/>
      <c r="AC13" s="43"/>
      <c r="AD13" s="43"/>
      <c r="AE13" s="43"/>
      <c r="AF13" s="43"/>
      <c r="AG13" s="43"/>
      <c r="AH13" s="43"/>
      <c r="AI13" s="43"/>
    </row>
    <row r="14" spans="1:35" s="16" customFormat="1" ht="15" customHeight="1" thickBot="1">
      <c r="A14" s="58">
        <v>1</v>
      </c>
      <c r="B14" s="59">
        <v>2</v>
      </c>
      <c r="C14" s="247">
        <v>3</v>
      </c>
      <c r="D14" s="288">
        <v>4</v>
      </c>
      <c r="E14" s="249"/>
      <c r="F14" s="60"/>
      <c r="G14" s="161"/>
      <c r="H14" s="227"/>
      <c r="I14" s="215">
        <v>5</v>
      </c>
      <c r="J14" s="58">
        <v>6</v>
      </c>
      <c r="K14" s="58">
        <v>7</v>
      </c>
      <c r="L14" s="58">
        <v>8</v>
      </c>
      <c r="M14" s="58">
        <v>9</v>
      </c>
      <c r="N14" s="163">
        <v>10</v>
      </c>
      <c r="O14" s="184">
        <v>11</v>
      </c>
      <c r="P14" s="58">
        <v>12</v>
      </c>
      <c r="Q14" s="58">
        <v>13</v>
      </c>
      <c r="R14" s="58">
        <v>14</v>
      </c>
      <c r="S14" s="185">
        <v>15</v>
      </c>
      <c r="T14" s="168">
        <v>16</v>
      </c>
      <c r="U14" s="61">
        <v>17</v>
      </c>
      <c r="V14" s="61">
        <v>18</v>
      </c>
      <c r="W14" s="61">
        <v>19</v>
      </c>
      <c r="X14" s="62">
        <v>20</v>
      </c>
      <c r="Y14" s="63">
        <v>21</v>
      </c>
      <c r="Z14" s="64">
        <v>22</v>
      </c>
      <c r="AA14" s="65">
        <v>23</v>
      </c>
      <c r="AB14" s="43"/>
      <c r="AC14" s="43"/>
      <c r="AD14" s="43"/>
      <c r="AE14" s="43"/>
      <c r="AF14" s="43"/>
      <c r="AG14" s="43"/>
      <c r="AH14" s="43"/>
      <c r="AI14" s="43"/>
    </row>
    <row r="15" spans="1:35" s="16" customFormat="1" ht="15" customHeight="1">
      <c r="A15" s="66" t="s">
        <v>35</v>
      </c>
      <c r="B15" s="67" t="s">
        <v>83</v>
      </c>
      <c r="C15" s="156"/>
      <c r="D15" s="228"/>
      <c r="E15" s="250" t="s">
        <v>35</v>
      </c>
      <c r="F15" s="67" t="s">
        <v>83</v>
      </c>
      <c r="G15" s="156"/>
      <c r="H15" s="228"/>
      <c r="I15" s="85"/>
      <c r="J15" s="68"/>
      <c r="K15" s="68"/>
      <c r="L15" s="68"/>
      <c r="M15" s="68"/>
      <c r="N15" s="156"/>
      <c r="O15" s="134"/>
      <c r="P15" s="68"/>
      <c r="Q15" s="68"/>
      <c r="R15" s="68"/>
      <c r="S15" s="186"/>
      <c r="T15" s="169"/>
      <c r="U15" s="69"/>
      <c r="V15" s="69"/>
      <c r="W15" s="69"/>
      <c r="X15" s="69"/>
      <c r="Y15" s="69"/>
      <c r="Z15" s="69"/>
      <c r="AA15" s="69"/>
      <c r="AB15" s="43"/>
      <c r="AC15" s="43"/>
      <c r="AD15" s="43"/>
      <c r="AE15" s="43"/>
      <c r="AF15" s="43"/>
      <c r="AG15" s="43"/>
      <c r="AH15" s="43"/>
      <c r="AI15" s="43"/>
    </row>
    <row r="16" spans="1:35" s="16" customFormat="1" ht="15" customHeight="1">
      <c r="A16" s="70" t="s">
        <v>2</v>
      </c>
      <c r="B16" s="42" t="s">
        <v>77</v>
      </c>
      <c r="C16" s="199" t="s">
        <v>3</v>
      </c>
      <c r="D16" s="229">
        <f>203+35</f>
        <v>238</v>
      </c>
      <c r="E16" s="251" t="s">
        <v>2</v>
      </c>
      <c r="F16" s="42" t="s">
        <v>77</v>
      </c>
      <c r="G16" s="199" t="s">
        <v>3</v>
      </c>
      <c r="H16" s="229">
        <f>203+35</f>
        <v>238</v>
      </c>
      <c r="I16" s="216">
        <f aca="true" t="shared" si="0" ref="I16:I31">K16/J16</f>
        <v>0.022727272727272728</v>
      </c>
      <c r="J16" s="41">
        <v>2.2</v>
      </c>
      <c r="K16" s="41">
        <v>0.05</v>
      </c>
      <c r="L16" s="41">
        <v>0</v>
      </c>
      <c r="M16" s="41">
        <v>0.05</v>
      </c>
      <c r="N16" s="74">
        <f aca="true" t="shared" si="1" ref="N16:N31">K16+L16+M16</f>
        <v>0.1</v>
      </c>
      <c r="O16" s="187">
        <f aca="true" t="shared" si="2" ref="O16:O31">H16*I16</f>
        <v>5.409090909090909</v>
      </c>
      <c r="P16" s="41">
        <f aca="true" t="shared" si="3" ref="P16:P31">ROUND(H16*K16,2)</f>
        <v>11.9</v>
      </c>
      <c r="Q16" s="41">
        <f aca="true" t="shared" si="4" ref="Q16:Q31">H16*L16</f>
        <v>0</v>
      </c>
      <c r="R16" s="41">
        <f aca="true" t="shared" si="5" ref="R16:R31">ROUND(H16*M16,2)</f>
        <v>11.9</v>
      </c>
      <c r="S16" s="188">
        <f aca="true" t="shared" si="6" ref="S16:S31">R16+Q16+P16</f>
        <v>23.8</v>
      </c>
      <c r="T16" s="170">
        <v>0</v>
      </c>
      <c r="U16" s="40">
        <f>T16*K16</f>
        <v>0</v>
      </c>
      <c r="V16" s="40">
        <f>T16*L16</f>
        <v>0</v>
      </c>
      <c r="W16" s="40">
        <f>T16*M16</f>
        <v>0</v>
      </c>
      <c r="X16" s="40">
        <f>U16+V16+W16</f>
        <v>0</v>
      </c>
      <c r="Y16" s="40">
        <f>100+138</f>
        <v>238</v>
      </c>
      <c r="Z16" s="40">
        <f>Y16*N16</f>
        <v>23.8</v>
      </c>
      <c r="AA16" s="40">
        <f>S16-X16-Z16</f>
        <v>0</v>
      </c>
      <c r="AB16" s="43"/>
      <c r="AC16" s="43"/>
      <c r="AD16" s="43"/>
      <c r="AE16" s="43"/>
      <c r="AF16" s="43"/>
      <c r="AG16" s="43"/>
      <c r="AH16" s="43"/>
      <c r="AI16" s="43"/>
    </row>
    <row r="17" spans="1:35" s="16" customFormat="1" ht="27.75" customHeight="1">
      <c r="A17" s="70" t="s">
        <v>9</v>
      </c>
      <c r="B17" s="72" t="s">
        <v>296</v>
      </c>
      <c r="C17" s="199" t="s">
        <v>4</v>
      </c>
      <c r="D17" s="229">
        <f>150*0.8</f>
        <v>120</v>
      </c>
      <c r="E17" s="251" t="s">
        <v>9</v>
      </c>
      <c r="F17" s="72" t="s">
        <v>296</v>
      </c>
      <c r="G17" s="199" t="s">
        <v>4</v>
      </c>
      <c r="H17" s="229">
        <f>150*0.8</f>
        <v>120</v>
      </c>
      <c r="I17" s="216">
        <f t="shared" si="0"/>
        <v>0.13636363636363635</v>
      </c>
      <c r="J17" s="41">
        <v>2.2</v>
      </c>
      <c r="K17" s="41">
        <v>0.3</v>
      </c>
      <c r="L17" s="41"/>
      <c r="M17" s="41">
        <v>0.3</v>
      </c>
      <c r="N17" s="74">
        <f t="shared" si="1"/>
        <v>0.6</v>
      </c>
      <c r="O17" s="187">
        <f t="shared" si="2"/>
        <v>16.363636363636363</v>
      </c>
      <c r="P17" s="41">
        <f t="shared" si="3"/>
        <v>36</v>
      </c>
      <c r="Q17" s="41">
        <f t="shared" si="4"/>
        <v>0</v>
      </c>
      <c r="R17" s="41">
        <f t="shared" si="5"/>
        <v>36</v>
      </c>
      <c r="S17" s="188">
        <f t="shared" si="6"/>
        <v>72</v>
      </c>
      <c r="T17" s="170"/>
      <c r="U17" s="40">
        <f aca="true" t="shared" si="7" ref="U17:U31">T17*K17</f>
        <v>0</v>
      </c>
      <c r="V17" s="40">
        <f aca="true" t="shared" si="8" ref="V17:V31">T17*L17</f>
        <v>0</v>
      </c>
      <c r="W17" s="40">
        <f aca="true" t="shared" si="9" ref="W17:W31">T17*M17</f>
        <v>0</v>
      </c>
      <c r="X17" s="40">
        <f aca="true" t="shared" si="10" ref="X17:X31">U17+V17+W17</f>
        <v>0</v>
      </c>
      <c r="Y17" s="40"/>
      <c r="Z17" s="40">
        <f aca="true" t="shared" si="11" ref="Z17:Z80">Y17*N17</f>
        <v>0</v>
      </c>
      <c r="AA17" s="40">
        <f aca="true" t="shared" si="12" ref="AA17:AA31">S17-X17-Z17</f>
        <v>72</v>
      </c>
      <c r="AB17" s="43"/>
      <c r="AC17" s="43"/>
      <c r="AD17" s="43"/>
      <c r="AE17" s="43"/>
      <c r="AF17" s="43"/>
      <c r="AG17" s="43"/>
      <c r="AH17" s="43"/>
      <c r="AI17" s="43"/>
    </row>
    <row r="18" spans="1:35" s="16" customFormat="1" ht="15" customHeight="1">
      <c r="A18" s="70" t="s">
        <v>11</v>
      </c>
      <c r="B18" s="42" t="s">
        <v>297</v>
      </c>
      <c r="C18" s="199" t="s">
        <v>4</v>
      </c>
      <c r="D18" s="229">
        <v>36.04</v>
      </c>
      <c r="E18" s="251" t="s">
        <v>11</v>
      </c>
      <c r="F18" s="42" t="s">
        <v>297</v>
      </c>
      <c r="G18" s="199" t="s">
        <v>4</v>
      </c>
      <c r="H18" s="229">
        <v>36.04</v>
      </c>
      <c r="I18" s="216">
        <f t="shared" si="0"/>
        <v>0.22727272727272727</v>
      </c>
      <c r="J18" s="41">
        <v>2.2</v>
      </c>
      <c r="K18" s="41">
        <v>0.5</v>
      </c>
      <c r="L18" s="41"/>
      <c r="M18" s="41">
        <v>0.05</v>
      </c>
      <c r="N18" s="74">
        <f t="shared" si="1"/>
        <v>0.55</v>
      </c>
      <c r="O18" s="187">
        <f t="shared" si="2"/>
        <v>8.19090909090909</v>
      </c>
      <c r="P18" s="41">
        <f t="shared" si="3"/>
        <v>18.02</v>
      </c>
      <c r="Q18" s="41">
        <f t="shared" si="4"/>
        <v>0</v>
      </c>
      <c r="R18" s="41">
        <f t="shared" si="5"/>
        <v>1.8</v>
      </c>
      <c r="S18" s="188">
        <f t="shared" si="6"/>
        <v>19.82</v>
      </c>
      <c r="T18" s="170">
        <v>18.04</v>
      </c>
      <c r="U18" s="40">
        <f t="shared" si="7"/>
        <v>9.02</v>
      </c>
      <c r="V18" s="40">
        <f t="shared" si="8"/>
        <v>0</v>
      </c>
      <c r="W18" s="40">
        <f t="shared" si="9"/>
        <v>0.902</v>
      </c>
      <c r="X18" s="40">
        <f t="shared" si="10"/>
        <v>9.921999999999999</v>
      </c>
      <c r="Y18" s="40">
        <v>18</v>
      </c>
      <c r="Z18" s="40">
        <f t="shared" si="11"/>
        <v>9.9</v>
      </c>
      <c r="AA18" s="40">
        <f t="shared" si="12"/>
        <v>-0.0019999999999988916</v>
      </c>
      <c r="AB18" s="43"/>
      <c r="AC18" s="43"/>
      <c r="AD18" s="43"/>
      <c r="AE18" s="43"/>
      <c r="AF18" s="43"/>
      <c r="AG18" s="43"/>
      <c r="AH18" s="43"/>
      <c r="AI18" s="43"/>
    </row>
    <row r="19" spans="1:35" s="16" customFormat="1" ht="15" customHeight="1">
      <c r="A19" s="70" t="s">
        <v>14</v>
      </c>
      <c r="B19" s="42" t="s">
        <v>150</v>
      </c>
      <c r="C19" s="199" t="s">
        <v>4</v>
      </c>
      <c r="D19" s="229">
        <f>+D204</f>
        <v>19.32</v>
      </c>
      <c r="E19" s="251" t="s">
        <v>14</v>
      </c>
      <c r="F19" s="42" t="s">
        <v>150</v>
      </c>
      <c r="G19" s="199" t="s">
        <v>4</v>
      </c>
      <c r="H19" s="229">
        <v>19.32</v>
      </c>
      <c r="I19" s="216">
        <f t="shared" si="0"/>
        <v>0.22727272727272727</v>
      </c>
      <c r="J19" s="41">
        <v>2.2</v>
      </c>
      <c r="K19" s="41">
        <v>0.5</v>
      </c>
      <c r="L19" s="41"/>
      <c r="M19" s="41">
        <v>0.1</v>
      </c>
      <c r="N19" s="74">
        <f t="shared" si="1"/>
        <v>0.6</v>
      </c>
      <c r="O19" s="187">
        <f t="shared" si="2"/>
        <v>4.390909090909091</v>
      </c>
      <c r="P19" s="41">
        <f t="shared" si="3"/>
        <v>9.66</v>
      </c>
      <c r="Q19" s="41">
        <f t="shared" si="4"/>
        <v>0</v>
      </c>
      <c r="R19" s="41">
        <f t="shared" si="5"/>
        <v>1.93</v>
      </c>
      <c r="S19" s="188">
        <f t="shared" si="6"/>
        <v>11.59</v>
      </c>
      <c r="T19" s="170">
        <v>0</v>
      </c>
      <c r="U19" s="40">
        <f t="shared" si="7"/>
        <v>0</v>
      </c>
      <c r="V19" s="40">
        <f t="shared" si="8"/>
        <v>0</v>
      </c>
      <c r="W19" s="40">
        <f t="shared" si="9"/>
        <v>0</v>
      </c>
      <c r="X19" s="40">
        <f t="shared" si="10"/>
        <v>0</v>
      </c>
      <c r="Y19" s="40">
        <v>9.66</v>
      </c>
      <c r="Z19" s="40">
        <f t="shared" si="11"/>
        <v>5.796</v>
      </c>
      <c r="AA19" s="40">
        <f t="shared" si="12"/>
        <v>5.794</v>
      </c>
      <c r="AB19" s="43"/>
      <c r="AC19" s="43"/>
      <c r="AD19" s="43"/>
      <c r="AE19" s="43"/>
      <c r="AF19" s="43"/>
      <c r="AG19" s="43"/>
      <c r="AH19" s="43"/>
      <c r="AI19" s="43"/>
    </row>
    <row r="20" spans="1:35" s="16" customFormat="1" ht="26.25" customHeight="1">
      <c r="A20" s="73" t="s">
        <v>31</v>
      </c>
      <c r="B20" s="32" t="s">
        <v>151</v>
      </c>
      <c r="C20" s="109" t="s">
        <v>4</v>
      </c>
      <c r="D20" s="230">
        <v>158.2</v>
      </c>
      <c r="E20" s="220" t="s">
        <v>31</v>
      </c>
      <c r="F20" s="32" t="s">
        <v>151</v>
      </c>
      <c r="G20" s="109" t="s">
        <v>4</v>
      </c>
      <c r="H20" s="230">
        <v>158.2</v>
      </c>
      <c r="I20" s="216">
        <f t="shared" si="0"/>
        <v>0.22727272727272727</v>
      </c>
      <c r="J20" s="41">
        <v>2.2</v>
      </c>
      <c r="K20" s="41">
        <v>0.5</v>
      </c>
      <c r="L20" s="41">
        <v>0.2</v>
      </c>
      <c r="M20" s="41">
        <v>1.35</v>
      </c>
      <c r="N20" s="74">
        <f t="shared" si="1"/>
        <v>2.05</v>
      </c>
      <c r="O20" s="187">
        <f t="shared" si="2"/>
        <v>35.95454545454545</v>
      </c>
      <c r="P20" s="41">
        <f t="shared" si="3"/>
        <v>79.1</v>
      </c>
      <c r="Q20" s="41">
        <f t="shared" si="4"/>
        <v>31.64</v>
      </c>
      <c r="R20" s="41">
        <f t="shared" si="5"/>
        <v>213.57</v>
      </c>
      <c r="S20" s="188">
        <f t="shared" si="6"/>
        <v>324.30999999999995</v>
      </c>
      <c r="T20" s="170">
        <v>0</v>
      </c>
      <c r="U20" s="40">
        <f t="shared" si="7"/>
        <v>0</v>
      </c>
      <c r="V20" s="40">
        <f t="shared" si="8"/>
        <v>0</v>
      </c>
      <c r="W20" s="40">
        <f t="shared" si="9"/>
        <v>0</v>
      </c>
      <c r="X20" s="40">
        <f t="shared" si="10"/>
        <v>0</v>
      </c>
      <c r="Y20" s="40">
        <f>75+83.2</f>
        <v>158.2</v>
      </c>
      <c r="Z20" s="40">
        <f t="shared" si="11"/>
        <v>324.30999999999995</v>
      </c>
      <c r="AA20" s="40">
        <f t="shared" si="12"/>
        <v>0</v>
      </c>
      <c r="AB20" s="43"/>
      <c r="AC20" s="43"/>
      <c r="AD20" s="43"/>
      <c r="AE20" s="43"/>
      <c r="AF20" s="43"/>
      <c r="AG20" s="43"/>
      <c r="AH20" s="43"/>
      <c r="AI20" s="43"/>
    </row>
    <row r="21" spans="1:35" s="16" customFormat="1" ht="15" customHeight="1">
      <c r="A21" s="73" t="s">
        <v>34</v>
      </c>
      <c r="B21" s="75" t="s">
        <v>152</v>
      </c>
      <c r="C21" s="109" t="s">
        <v>4</v>
      </c>
      <c r="D21" s="230">
        <v>135</v>
      </c>
      <c r="E21" s="220" t="s">
        <v>34</v>
      </c>
      <c r="F21" s="75" t="s">
        <v>152</v>
      </c>
      <c r="G21" s="109" t="s">
        <v>4</v>
      </c>
      <c r="H21" s="230">
        <v>135</v>
      </c>
      <c r="I21" s="216">
        <f t="shared" si="0"/>
        <v>0.22727272727272727</v>
      </c>
      <c r="J21" s="41">
        <v>2.2</v>
      </c>
      <c r="K21" s="41">
        <v>0.5</v>
      </c>
      <c r="L21" s="41"/>
      <c r="M21" s="41">
        <v>0.3</v>
      </c>
      <c r="N21" s="74">
        <f t="shared" si="1"/>
        <v>0.8</v>
      </c>
      <c r="O21" s="187">
        <f t="shared" si="2"/>
        <v>30.68181818181818</v>
      </c>
      <c r="P21" s="41">
        <f t="shared" si="3"/>
        <v>67.5</v>
      </c>
      <c r="Q21" s="41">
        <f t="shared" si="4"/>
        <v>0</v>
      </c>
      <c r="R21" s="41">
        <f t="shared" si="5"/>
        <v>40.5</v>
      </c>
      <c r="S21" s="188">
        <f t="shared" si="6"/>
        <v>108</v>
      </c>
      <c r="T21" s="170">
        <v>0</v>
      </c>
      <c r="U21" s="40">
        <f t="shared" si="7"/>
        <v>0</v>
      </c>
      <c r="V21" s="40">
        <f t="shared" si="8"/>
        <v>0</v>
      </c>
      <c r="W21" s="40">
        <f t="shared" si="9"/>
        <v>0</v>
      </c>
      <c r="X21" s="40">
        <f t="shared" si="10"/>
        <v>0</v>
      </c>
      <c r="Y21" s="40">
        <v>135</v>
      </c>
      <c r="Z21" s="40">
        <f t="shared" si="11"/>
        <v>108</v>
      </c>
      <c r="AA21" s="40">
        <f t="shared" si="12"/>
        <v>0</v>
      </c>
      <c r="AB21" s="43"/>
      <c r="AC21" s="43"/>
      <c r="AD21" s="43"/>
      <c r="AE21" s="43"/>
      <c r="AF21" s="43"/>
      <c r="AG21" s="43"/>
      <c r="AH21" s="43"/>
      <c r="AI21" s="43"/>
    </row>
    <row r="22" spans="1:35" s="16" customFormat="1" ht="25.5" customHeight="1">
      <c r="A22" s="73" t="s">
        <v>37</v>
      </c>
      <c r="B22" s="97" t="s">
        <v>153</v>
      </c>
      <c r="C22" s="199" t="s">
        <v>4</v>
      </c>
      <c r="D22" s="229">
        <f>9.6+8.64</f>
        <v>18.240000000000002</v>
      </c>
      <c r="E22" s="220" t="s">
        <v>37</v>
      </c>
      <c r="F22" s="97" t="s">
        <v>153</v>
      </c>
      <c r="G22" s="199" t="s">
        <v>4</v>
      </c>
      <c r="H22" s="229">
        <f>9.6+8.64</f>
        <v>18.240000000000002</v>
      </c>
      <c r="I22" s="216">
        <f t="shared" si="0"/>
        <v>0.45454545454545453</v>
      </c>
      <c r="J22" s="41">
        <v>2.2</v>
      </c>
      <c r="K22" s="41">
        <v>1</v>
      </c>
      <c r="L22" s="41">
        <v>0.2</v>
      </c>
      <c r="M22" s="41">
        <v>0.35</v>
      </c>
      <c r="N22" s="74">
        <f t="shared" si="1"/>
        <v>1.5499999999999998</v>
      </c>
      <c r="O22" s="187">
        <f t="shared" si="2"/>
        <v>8.290909090909091</v>
      </c>
      <c r="P22" s="41">
        <f t="shared" si="3"/>
        <v>18.24</v>
      </c>
      <c r="Q22" s="41">
        <f t="shared" si="4"/>
        <v>3.6480000000000006</v>
      </c>
      <c r="R22" s="41">
        <f t="shared" si="5"/>
        <v>6.38</v>
      </c>
      <c r="S22" s="188">
        <f t="shared" si="6"/>
        <v>28.268</v>
      </c>
      <c r="T22" s="170">
        <v>0</v>
      </c>
      <c r="U22" s="40">
        <f t="shared" si="7"/>
        <v>0</v>
      </c>
      <c r="V22" s="40">
        <f t="shared" si="8"/>
        <v>0</v>
      </c>
      <c r="W22" s="40">
        <f t="shared" si="9"/>
        <v>0</v>
      </c>
      <c r="X22" s="40">
        <f t="shared" si="10"/>
        <v>0</v>
      </c>
      <c r="Y22" s="40">
        <v>9</v>
      </c>
      <c r="Z22" s="40">
        <f t="shared" si="11"/>
        <v>13.95</v>
      </c>
      <c r="AA22" s="40">
        <f t="shared" si="12"/>
        <v>14.318000000000001</v>
      </c>
      <c r="AB22" s="43"/>
      <c r="AC22" s="43"/>
      <c r="AD22" s="43"/>
      <c r="AE22" s="43"/>
      <c r="AF22" s="43"/>
      <c r="AG22" s="43"/>
      <c r="AH22" s="43"/>
      <c r="AI22" s="43"/>
    </row>
    <row r="23" spans="1:35" s="16" customFormat="1" ht="15" customHeight="1">
      <c r="A23" s="73" t="s">
        <v>78</v>
      </c>
      <c r="B23" s="42" t="s">
        <v>5</v>
      </c>
      <c r="C23" s="199" t="s">
        <v>3</v>
      </c>
      <c r="D23" s="229">
        <f>138+130</f>
        <v>268</v>
      </c>
      <c r="E23" s="220" t="s">
        <v>78</v>
      </c>
      <c r="F23" s="42" t="s">
        <v>5</v>
      </c>
      <c r="G23" s="199" t="s">
        <v>3</v>
      </c>
      <c r="H23" s="229">
        <f>138+130</f>
        <v>268</v>
      </c>
      <c r="I23" s="216">
        <f t="shared" si="0"/>
        <v>0.06818181818181818</v>
      </c>
      <c r="J23" s="41">
        <v>2.2</v>
      </c>
      <c r="K23" s="41">
        <v>0.15</v>
      </c>
      <c r="L23" s="41"/>
      <c r="M23" s="41">
        <v>0.2</v>
      </c>
      <c r="N23" s="74">
        <f t="shared" si="1"/>
        <v>0.35</v>
      </c>
      <c r="O23" s="187">
        <f t="shared" si="2"/>
        <v>18.27272727272727</v>
      </c>
      <c r="P23" s="41">
        <f t="shared" si="3"/>
        <v>40.2</v>
      </c>
      <c r="Q23" s="41">
        <f t="shared" si="4"/>
        <v>0</v>
      </c>
      <c r="R23" s="41">
        <f t="shared" si="5"/>
        <v>53.6</v>
      </c>
      <c r="S23" s="188">
        <f t="shared" si="6"/>
        <v>93.80000000000001</v>
      </c>
      <c r="T23" s="170">
        <v>0</v>
      </c>
      <c r="U23" s="40">
        <f t="shared" si="7"/>
        <v>0</v>
      </c>
      <c r="V23" s="40">
        <f t="shared" si="8"/>
        <v>0</v>
      </c>
      <c r="W23" s="40">
        <f t="shared" si="9"/>
        <v>0</v>
      </c>
      <c r="X23" s="40">
        <f t="shared" si="10"/>
        <v>0</v>
      </c>
      <c r="Y23" s="40">
        <f>130+138</f>
        <v>268</v>
      </c>
      <c r="Z23" s="40">
        <f t="shared" si="11"/>
        <v>93.8</v>
      </c>
      <c r="AA23" s="40">
        <f t="shared" si="12"/>
        <v>0</v>
      </c>
      <c r="AB23" s="43"/>
      <c r="AC23" s="43"/>
      <c r="AD23" s="43"/>
      <c r="AE23" s="43"/>
      <c r="AF23" s="43"/>
      <c r="AG23" s="43"/>
      <c r="AH23" s="43"/>
      <c r="AI23" s="43"/>
    </row>
    <row r="24" spans="1:45" s="17" customFormat="1" ht="27.75" customHeight="1">
      <c r="A24" s="73" t="s">
        <v>38</v>
      </c>
      <c r="B24" s="76" t="s">
        <v>154</v>
      </c>
      <c r="C24" s="109" t="s">
        <v>435</v>
      </c>
      <c r="D24" s="230">
        <v>832</v>
      </c>
      <c r="E24" s="220" t="s">
        <v>38</v>
      </c>
      <c r="F24" s="76" t="s">
        <v>154</v>
      </c>
      <c r="G24" s="109" t="s">
        <v>435</v>
      </c>
      <c r="H24" s="231">
        <v>832</v>
      </c>
      <c r="I24" s="216">
        <f t="shared" si="0"/>
        <v>0.022727272727272728</v>
      </c>
      <c r="J24" s="41">
        <v>2.2</v>
      </c>
      <c r="K24" s="41">
        <v>0.05</v>
      </c>
      <c r="L24" s="41"/>
      <c r="M24" s="41">
        <v>0.05</v>
      </c>
      <c r="N24" s="74">
        <f t="shared" si="1"/>
        <v>0.1</v>
      </c>
      <c r="O24" s="187">
        <f t="shared" si="2"/>
        <v>18.90909090909091</v>
      </c>
      <c r="P24" s="41">
        <f t="shared" si="3"/>
        <v>41.6</v>
      </c>
      <c r="Q24" s="41">
        <f t="shared" si="4"/>
        <v>0</v>
      </c>
      <c r="R24" s="41">
        <f t="shared" si="5"/>
        <v>41.6</v>
      </c>
      <c r="S24" s="188">
        <f t="shared" si="6"/>
        <v>83.2</v>
      </c>
      <c r="T24" s="170">
        <v>0</v>
      </c>
      <c r="U24" s="40">
        <f t="shared" si="7"/>
        <v>0</v>
      </c>
      <c r="V24" s="40">
        <f t="shared" si="8"/>
        <v>0</v>
      </c>
      <c r="W24" s="40">
        <f t="shared" si="9"/>
        <v>0</v>
      </c>
      <c r="X24" s="40">
        <f t="shared" si="10"/>
        <v>0</v>
      </c>
      <c r="Y24" s="40">
        <v>832</v>
      </c>
      <c r="Z24" s="40">
        <f t="shared" si="11"/>
        <v>83.2</v>
      </c>
      <c r="AA24" s="40">
        <f t="shared" si="12"/>
        <v>0</v>
      </c>
      <c r="AB24" s="43"/>
      <c r="AC24" s="43"/>
      <c r="AD24" s="43"/>
      <c r="AE24" s="43"/>
      <c r="AF24" s="43"/>
      <c r="AG24" s="43"/>
      <c r="AH24" s="43"/>
      <c r="AI24" s="43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35" s="16" customFormat="1" ht="15" customHeight="1">
      <c r="A25" s="73" t="s">
        <v>39</v>
      </c>
      <c r="B25" s="77" t="s">
        <v>100</v>
      </c>
      <c r="C25" s="107" t="s">
        <v>3</v>
      </c>
      <c r="D25" s="229">
        <v>54</v>
      </c>
      <c r="E25" s="220" t="s">
        <v>39</v>
      </c>
      <c r="F25" s="77" t="s">
        <v>100</v>
      </c>
      <c r="G25" s="107" t="s">
        <v>3</v>
      </c>
      <c r="H25" s="229">
        <v>54</v>
      </c>
      <c r="I25" s="216">
        <f t="shared" si="0"/>
        <v>0.11363636363636363</v>
      </c>
      <c r="J25" s="41">
        <v>2.2</v>
      </c>
      <c r="K25" s="41">
        <v>0.25</v>
      </c>
      <c r="L25" s="41"/>
      <c r="M25" s="41">
        <v>0.05</v>
      </c>
      <c r="N25" s="74">
        <f t="shared" si="1"/>
        <v>0.3</v>
      </c>
      <c r="O25" s="187">
        <f t="shared" si="2"/>
        <v>6.136363636363636</v>
      </c>
      <c r="P25" s="41">
        <f t="shared" si="3"/>
        <v>13.5</v>
      </c>
      <c r="Q25" s="41">
        <f t="shared" si="4"/>
        <v>0</v>
      </c>
      <c r="R25" s="41">
        <f t="shared" si="5"/>
        <v>2.7</v>
      </c>
      <c r="S25" s="188">
        <f t="shared" si="6"/>
        <v>16.2</v>
      </c>
      <c r="T25" s="170">
        <v>0</v>
      </c>
      <c r="U25" s="40">
        <f t="shared" si="7"/>
        <v>0</v>
      </c>
      <c r="V25" s="40">
        <f t="shared" si="8"/>
        <v>0</v>
      </c>
      <c r="W25" s="40">
        <f t="shared" si="9"/>
        <v>0</v>
      </c>
      <c r="X25" s="40">
        <f t="shared" si="10"/>
        <v>0</v>
      </c>
      <c r="Y25" s="40">
        <v>54</v>
      </c>
      <c r="Z25" s="40">
        <f t="shared" si="11"/>
        <v>16.2</v>
      </c>
      <c r="AA25" s="40">
        <f t="shared" si="12"/>
        <v>0</v>
      </c>
      <c r="AB25" s="43"/>
      <c r="AC25" s="43"/>
      <c r="AD25" s="43"/>
      <c r="AE25" s="43"/>
      <c r="AF25" s="43"/>
      <c r="AG25" s="43"/>
      <c r="AH25" s="43"/>
      <c r="AI25" s="43"/>
    </row>
    <row r="26" spans="1:35" s="16" customFormat="1" ht="27.75" customHeight="1">
      <c r="A26" s="73" t="s">
        <v>40</v>
      </c>
      <c r="B26" s="79" t="s">
        <v>114</v>
      </c>
      <c r="C26" s="107" t="s">
        <v>8</v>
      </c>
      <c r="D26" s="229">
        <v>6</v>
      </c>
      <c r="E26" s="220" t="s">
        <v>40</v>
      </c>
      <c r="F26" s="79" t="s">
        <v>114</v>
      </c>
      <c r="G26" s="107" t="s">
        <v>8</v>
      </c>
      <c r="H26" s="229">
        <v>6</v>
      </c>
      <c r="I26" s="216">
        <f t="shared" si="0"/>
        <v>0.45454545454545453</v>
      </c>
      <c r="J26" s="41">
        <v>2.2</v>
      </c>
      <c r="K26" s="41">
        <v>1</v>
      </c>
      <c r="L26" s="41"/>
      <c r="M26" s="41">
        <v>2</v>
      </c>
      <c r="N26" s="74">
        <f t="shared" si="1"/>
        <v>3</v>
      </c>
      <c r="O26" s="187">
        <f t="shared" si="2"/>
        <v>2.727272727272727</v>
      </c>
      <c r="P26" s="41">
        <f t="shared" si="3"/>
        <v>6</v>
      </c>
      <c r="Q26" s="41">
        <f t="shared" si="4"/>
        <v>0</v>
      </c>
      <c r="R26" s="41">
        <f t="shared" si="5"/>
        <v>12</v>
      </c>
      <c r="S26" s="188">
        <f t="shared" si="6"/>
        <v>18</v>
      </c>
      <c r="T26" s="170">
        <v>0</v>
      </c>
      <c r="U26" s="40">
        <f t="shared" si="7"/>
        <v>0</v>
      </c>
      <c r="V26" s="40">
        <f t="shared" si="8"/>
        <v>0</v>
      </c>
      <c r="W26" s="40">
        <f t="shared" si="9"/>
        <v>0</v>
      </c>
      <c r="X26" s="40">
        <f t="shared" si="10"/>
        <v>0</v>
      </c>
      <c r="Y26" s="40">
        <v>6</v>
      </c>
      <c r="Z26" s="40">
        <f t="shared" si="11"/>
        <v>18</v>
      </c>
      <c r="AA26" s="40">
        <f t="shared" si="12"/>
        <v>0</v>
      </c>
      <c r="AB26" s="43"/>
      <c r="AC26" s="43"/>
      <c r="AD26" s="43"/>
      <c r="AE26" s="43"/>
      <c r="AF26" s="43"/>
      <c r="AG26" s="43"/>
      <c r="AH26" s="43"/>
      <c r="AI26" s="43"/>
    </row>
    <row r="27" spans="1:35" s="16" customFormat="1" ht="15" customHeight="1">
      <c r="A27" s="73" t="s">
        <v>41</v>
      </c>
      <c r="B27" s="77" t="s">
        <v>98</v>
      </c>
      <c r="C27" s="107" t="s">
        <v>10</v>
      </c>
      <c r="D27" s="229">
        <v>1</v>
      </c>
      <c r="E27" s="220" t="s">
        <v>41</v>
      </c>
      <c r="F27" s="77" t="s">
        <v>98</v>
      </c>
      <c r="G27" s="107" t="s">
        <v>10</v>
      </c>
      <c r="H27" s="229">
        <v>1</v>
      </c>
      <c r="I27" s="216">
        <f t="shared" si="0"/>
        <v>0.45454545454545453</v>
      </c>
      <c r="J27" s="41">
        <v>2.2</v>
      </c>
      <c r="K27" s="41">
        <v>1</v>
      </c>
      <c r="L27" s="41"/>
      <c r="M27" s="41">
        <v>0.2</v>
      </c>
      <c r="N27" s="74">
        <f t="shared" si="1"/>
        <v>1.2</v>
      </c>
      <c r="O27" s="187">
        <f t="shared" si="2"/>
        <v>0.45454545454545453</v>
      </c>
      <c r="P27" s="41">
        <f t="shared" si="3"/>
        <v>1</v>
      </c>
      <c r="Q27" s="41">
        <f t="shared" si="4"/>
        <v>0</v>
      </c>
      <c r="R27" s="41">
        <f t="shared" si="5"/>
        <v>0.2</v>
      </c>
      <c r="S27" s="188">
        <f t="shared" si="6"/>
        <v>1.2</v>
      </c>
      <c r="T27" s="170">
        <v>0</v>
      </c>
      <c r="U27" s="40">
        <f t="shared" si="7"/>
        <v>0</v>
      </c>
      <c r="V27" s="40">
        <f t="shared" si="8"/>
        <v>0</v>
      </c>
      <c r="W27" s="40">
        <f t="shared" si="9"/>
        <v>0</v>
      </c>
      <c r="X27" s="40">
        <f t="shared" si="10"/>
        <v>0</v>
      </c>
      <c r="Y27" s="40">
        <v>1</v>
      </c>
      <c r="Z27" s="40">
        <f t="shared" si="11"/>
        <v>1.2</v>
      </c>
      <c r="AA27" s="40">
        <f t="shared" si="12"/>
        <v>0</v>
      </c>
      <c r="AB27" s="43"/>
      <c r="AC27" s="43"/>
      <c r="AD27" s="43"/>
      <c r="AE27" s="43"/>
      <c r="AF27" s="43"/>
      <c r="AG27" s="43"/>
      <c r="AH27" s="43"/>
      <c r="AI27" s="43"/>
    </row>
    <row r="28" spans="1:35" s="16" customFormat="1" ht="15" customHeight="1">
      <c r="A28" s="73" t="s">
        <v>79</v>
      </c>
      <c r="B28" s="77" t="s">
        <v>84</v>
      </c>
      <c r="C28" s="107" t="s">
        <v>4</v>
      </c>
      <c r="D28" s="229">
        <v>105</v>
      </c>
      <c r="E28" s="220" t="s">
        <v>79</v>
      </c>
      <c r="F28" s="77" t="s">
        <v>84</v>
      </c>
      <c r="G28" s="107" t="s">
        <v>4</v>
      </c>
      <c r="H28" s="229">
        <v>105</v>
      </c>
      <c r="I28" s="216">
        <f t="shared" si="0"/>
        <v>0.045454545454545456</v>
      </c>
      <c r="J28" s="41">
        <v>2.2</v>
      </c>
      <c r="K28" s="41">
        <v>0.1</v>
      </c>
      <c r="L28" s="41"/>
      <c r="M28" s="41">
        <v>0.1</v>
      </c>
      <c r="N28" s="74">
        <f t="shared" si="1"/>
        <v>0.2</v>
      </c>
      <c r="O28" s="187">
        <f t="shared" si="2"/>
        <v>4.7727272727272725</v>
      </c>
      <c r="P28" s="41">
        <f t="shared" si="3"/>
        <v>10.5</v>
      </c>
      <c r="Q28" s="41">
        <f t="shared" si="4"/>
        <v>0</v>
      </c>
      <c r="R28" s="41">
        <f t="shared" si="5"/>
        <v>10.5</v>
      </c>
      <c r="S28" s="188">
        <f t="shared" si="6"/>
        <v>21</v>
      </c>
      <c r="T28" s="170">
        <v>0</v>
      </c>
      <c r="U28" s="40">
        <f t="shared" si="7"/>
        <v>0</v>
      </c>
      <c r="V28" s="40">
        <f t="shared" si="8"/>
        <v>0</v>
      </c>
      <c r="W28" s="40">
        <f t="shared" si="9"/>
        <v>0</v>
      </c>
      <c r="X28" s="40">
        <f t="shared" si="10"/>
        <v>0</v>
      </c>
      <c r="Y28" s="40">
        <v>0</v>
      </c>
      <c r="Z28" s="40">
        <f t="shared" si="11"/>
        <v>0</v>
      </c>
      <c r="AA28" s="40">
        <f t="shared" si="12"/>
        <v>21</v>
      </c>
      <c r="AB28" s="43"/>
      <c r="AC28" s="43"/>
      <c r="AD28" s="43"/>
      <c r="AE28" s="43"/>
      <c r="AF28" s="43"/>
      <c r="AG28" s="43"/>
      <c r="AH28" s="43"/>
      <c r="AI28" s="43"/>
    </row>
    <row r="29" spans="1:35" s="16" customFormat="1" ht="15" customHeight="1">
      <c r="A29" s="73" t="s">
        <v>155</v>
      </c>
      <c r="B29" s="77" t="s">
        <v>99</v>
      </c>
      <c r="C29" s="107" t="s">
        <v>10</v>
      </c>
      <c r="D29" s="229">
        <v>2</v>
      </c>
      <c r="E29" s="220" t="s">
        <v>155</v>
      </c>
      <c r="F29" s="77" t="s">
        <v>99</v>
      </c>
      <c r="G29" s="107" t="s">
        <v>10</v>
      </c>
      <c r="H29" s="229">
        <v>2</v>
      </c>
      <c r="I29" s="216">
        <f t="shared" si="0"/>
        <v>0.45454545454545453</v>
      </c>
      <c r="J29" s="41">
        <v>2.2</v>
      </c>
      <c r="K29" s="41">
        <v>1</v>
      </c>
      <c r="L29" s="41"/>
      <c r="M29" s="41">
        <v>0.5</v>
      </c>
      <c r="N29" s="74">
        <f t="shared" si="1"/>
        <v>1.5</v>
      </c>
      <c r="O29" s="187">
        <f t="shared" si="2"/>
        <v>0.9090909090909091</v>
      </c>
      <c r="P29" s="41">
        <f t="shared" si="3"/>
        <v>2</v>
      </c>
      <c r="Q29" s="41">
        <f t="shared" si="4"/>
        <v>0</v>
      </c>
      <c r="R29" s="41">
        <f t="shared" si="5"/>
        <v>1</v>
      </c>
      <c r="S29" s="188">
        <f t="shared" si="6"/>
        <v>3</v>
      </c>
      <c r="T29" s="170">
        <v>0</v>
      </c>
      <c r="U29" s="40">
        <f t="shared" si="7"/>
        <v>0</v>
      </c>
      <c r="V29" s="40">
        <f t="shared" si="8"/>
        <v>0</v>
      </c>
      <c r="W29" s="40">
        <f t="shared" si="9"/>
        <v>0</v>
      </c>
      <c r="X29" s="40">
        <f t="shared" si="10"/>
        <v>0</v>
      </c>
      <c r="Y29" s="40">
        <v>2</v>
      </c>
      <c r="Z29" s="40">
        <f t="shared" si="11"/>
        <v>3</v>
      </c>
      <c r="AA29" s="40">
        <f t="shared" si="12"/>
        <v>0</v>
      </c>
      <c r="AB29" s="43"/>
      <c r="AC29" s="43"/>
      <c r="AD29" s="43"/>
      <c r="AE29" s="43"/>
      <c r="AF29" s="43"/>
      <c r="AG29" s="43"/>
      <c r="AH29" s="43"/>
      <c r="AI29" s="43"/>
    </row>
    <row r="30" spans="1:35" s="16" customFormat="1" ht="15" customHeight="1">
      <c r="A30" s="73" t="s">
        <v>156</v>
      </c>
      <c r="B30" s="75" t="s">
        <v>115</v>
      </c>
      <c r="C30" s="199" t="s">
        <v>116</v>
      </c>
      <c r="D30" s="229">
        <v>12</v>
      </c>
      <c r="E30" s="220" t="s">
        <v>156</v>
      </c>
      <c r="F30" s="75" t="s">
        <v>115</v>
      </c>
      <c r="G30" s="199" t="s">
        <v>116</v>
      </c>
      <c r="H30" s="229">
        <v>12</v>
      </c>
      <c r="I30" s="216">
        <f t="shared" si="0"/>
        <v>1.5909090909090908</v>
      </c>
      <c r="J30" s="41">
        <v>2.2</v>
      </c>
      <c r="K30" s="41">
        <v>3.5</v>
      </c>
      <c r="L30" s="41"/>
      <c r="M30" s="41">
        <v>0.5</v>
      </c>
      <c r="N30" s="74">
        <f t="shared" si="1"/>
        <v>4</v>
      </c>
      <c r="O30" s="187">
        <f t="shared" si="2"/>
        <v>19.09090909090909</v>
      </c>
      <c r="P30" s="41">
        <f t="shared" si="3"/>
        <v>42</v>
      </c>
      <c r="Q30" s="41">
        <f t="shared" si="4"/>
        <v>0</v>
      </c>
      <c r="R30" s="41">
        <f t="shared" si="5"/>
        <v>6</v>
      </c>
      <c r="S30" s="188">
        <f t="shared" si="6"/>
        <v>48</v>
      </c>
      <c r="T30" s="170">
        <v>0</v>
      </c>
      <c r="U30" s="40">
        <f t="shared" si="7"/>
        <v>0</v>
      </c>
      <c r="V30" s="40">
        <f t="shared" si="8"/>
        <v>0</v>
      </c>
      <c r="W30" s="40">
        <f t="shared" si="9"/>
        <v>0</v>
      </c>
      <c r="X30" s="40">
        <f t="shared" si="10"/>
        <v>0</v>
      </c>
      <c r="Y30" s="40">
        <v>12</v>
      </c>
      <c r="Z30" s="40">
        <f t="shared" si="11"/>
        <v>48</v>
      </c>
      <c r="AA30" s="40">
        <f t="shared" si="12"/>
        <v>0</v>
      </c>
      <c r="AB30" s="43"/>
      <c r="AC30" s="43"/>
      <c r="AD30" s="43"/>
      <c r="AE30" s="43"/>
      <c r="AF30" s="43"/>
      <c r="AG30" s="43"/>
      <c r="AH30" s="43"/>
      <c r="AI30" s="43"/>
    </row>
    <row r="31" spans="1:35" s="16" customFormat="1" ht="15" customHeight="1" thickBot="1">
      <c r="A31" s="80" t="s">
        <v>157</v>
      </c>
      <c r="B31" s="81" t="s">
        <v>101</v>
      </c>
      <c r="C31" s="200" t="s">
        <v>6</v>
      </c>
      <c r="D31" s="232">
        <v>34</v>
      </c>
      <c r="E31" s="252" t="s">
        <v>416</v>
      </c>
      <c r="F31" s="81" t="s">
        <v>101</v>
      </c>
      <c r="G31" s="200" t="s">
        <v>6</v>
      </c>
      <c r="H31" s="405">
        <v>42</v>
      </c>
      <c r="I31" s="217">
        <f t="shared" si="0"/>
        <v>2.954545454545454</v>
      </c>
      <c r="J31" s="50">
        <v>2.2</v>
      </c>
      <c r="K31" s="50">
        <v>6.5</v>
      </c>
      <c r="L31" s="50"/>
      <c r="M31" s="50">
        <v>6.8</v>
      </c>
      <c r="N31" s="132">
        <f t="shared" si="1"/>
        <v>13.3</v>
      </c>
      <c r="O31" s="189">
        <f t="shared" si="2"/>
        <v>124.09090909090908</v>
      </c>
      <c r="P31" s="50">
        <f t="shared" si="3"/>
        <v>273</v>
      </c>
      <c r="Q31" s="50">
        <f t="shared" si="4"/>
        <v>0</v>
      </c>
      <c r="R31" s="50">
        <f t="shared" si="5"/>
        <v>285.6</v>
      </c>
      <c r="S31" s="190">
        <f t="shared" si="6"/>
        <v>558.6</v>
      </c>
      <c r="T31" s="171">
        <v>0</v>
      </c>
      <c r="U31" s="83">
        <f t="shared" si="7"/>
        <v>0</v>
      </c>
      <c r="V31" s="83">
        <f t="shared" si="8"/>
        <v>0</v>
      </c>
      <c r="W31" s="83">
        <f t="shared" si="9"/>
        <v>0</v>
      </c>
      <c r="X31" s="83">
        <f t="shared" si="10"/>
        <v>0</v>
      </c>
      <c r="Y31" s="83">
        <v>34</v>
      </c>
      <c r="Z31" s="83">
        <f t="shared" si="11"/>
        <v>452.20000000000005</v>
      </c>
      <c r="AA31" s="83">
        <f t="shared" si="12"/>
        <v>106.39999999999998</v>
      </c>
      <c r="AB31" s="43"/>
      <c r="AC31" s="43"/>
      <c r="AD31" s="43"/>
      <c r="AE31" s="43"/>
      <c r="AF31" s="43"/>
      <c r="AG31" s="43"/>
      <c r="AH31" s="43"/>
      <c r="AI31" s="43"/>
    </row>
    <row r="32" spans="1:37" s="16" customFormat="1" ht="15" customHeight="1" thickBot="1">
      <c r="A32" s="269"/>
      <c r="B32" s="270" t="s">
        <v>336</v>
      </c>
      <c r="C32" s="247"/>
      <c r="D32" s="272"/>
      <c r="E32" s="271"/>
      <c r="F32" s="270" t="s">
        <v>336</v>
      </c>
      <c r="G32" s="247"/>
      <c r="H32" s="272"/>
      <c r="I32" s="225"/>
      <c r="J32" s="152"/>
      <c r="K32" s="152"/>
      <c r="L32" s="152"/>
      <c r="M32" s="152"/>
      <c r="N32" s="167"/>
      <c r="O32" s="196">
        <f>SUM(O16:O31)</f>
        <v>304.6454545454545</v>
      </c>
      <c r="P32" s="152">
        <f>SUM(P16:P31)</f>
        <v>670.22</v>
      </c>
      <c r="Q32" s="152">
        <f>SUM(Q16:Q31)</f>
        <v>35.288000000000004</v>
      </c>
      <c r="R32" s="152">
        <f>SUM(R16:R31)</f>
        <v>725.28</v>
      </c>
      <c r="S32" s="273">
        <f>SUM(S16:S31)</f>
        <v>1430.788</v>
      </c>
      <c r="T32" s="172">
        <f aca="true" t="shared" si="13" ref="T32:AI32">SUM(T16:T31)</f>
        <v>18.04</v>
      </c>
      <c r="U32" s="88">
        <f t="shared" si="13"/>
        <v>9.02</v>
      </c>
      <c r="V32" s="88">
        <f t="shared" si="13"/>
        <v>0</v>
      </c>
      <c r="W32" s="88">
        <f t="shared" si="13"/>
        <v>0.902</v>
      </c>
      <c r="X32" s="88">
        <f t="shared" si="13"/>
        <v>9.921999999999999</v>
      </c>
      <c r="Y32" s="88">
        <f t="shared" si="13"/>
        <v>1776.8600000000001</v>
      </c>
      <c r="Z32" s="88">
        <f t="shared" si="13"/>
        <v>1201.3560000000002</v>
      </c>
      <c r="AA32" s="88">
        <f t="shared" si="13"/>
        <v>219.51</v>
      </c>
      <c r="AB32" s="88">
        <f t="shared" si="13"/>
        <v>0</v>
      </c>
      <c r="AC32" s="88">
        <f t="shared" si="13"/>
        <v>0</v>
      </c>
      <c r="AD32" s="88">
        <f t="shared" si="13"/>
        <v>0</v>
      </c>
      <c r="AE32" s="88">
        <f t="shared" si="13"/>
        <v>0</v>
      </c>
      <c r="AF32" s="88">
        <f t="shared" si="13"/>
        <v>0</v>
      </c>
      <c r="AG32" s="88">
        <f t="shared" si="13"/>
        <v>0</v>
      </c>
      <c r="AH32" s="88">
        <f t="shared" si="13"/>
        <v>0</v>
      </c>
      <c r="AI32" s="88">
        <f t="shared" si="13"/>
        <v>0</v>
      </c>
      <c r="AJ32" s="474"/>
      <c r="AK32" s="27"/>
    </row>
    <row r="33" spans="1:35" s="16" customFormat="1" ht="94.5" customHeight="1">
      <c r="A33" s="89" t="s">
        <v>42</v>
      </c>
      <c r="B33" s="90" t="s">
        <v>264</v>
      </c>
      <c r="C33" s="201" t="s">
        <v>435</v>
      </c>
      <c r="D33" s="234">
        <f>1242.79+85.26</f>
        <v>1328.05</v>
      </c>
      <c r="E33" s="253" t="s">
        <v>42</v>
      </c>
      <c r="F33" s="419" t="s">
        <v>415</v>
      </c>
      <c r="G33" s="201" t="s">
        <v>435</v>
      </c>
      <c r="H33" s="431">
        <f>1242.79+85.26+14.42</f>
        <v>1342.47</v>
      </c>
      <c r="I33" s="85"/>
      <c r="J33" s="68"/>
      <c r="K33" s="68"/>
      <c r="L33" s="68"/>
      <c r="M33" s="68"/>
      <c r="N33" s="156"/>
      <c r="O33" s="134"/>
      <c r="P33" s="68"/>
      <c r="Q33" s="68"/>
      <c r="R33" s="68"/>
      <c r="S33" s="186"/>
      <c r="T33" s="170"/>
      <c r="U33" s="40"/>
      <c r="V33" s="40"/>
      <c r="W33" s="40"/>
      <c r="X33" s="40"/>
      <c r="Y33" s="40"/>
      <c r="Z33" s="40"/>
      <c r="AA33" s="40"/>
      <c r="AB33" s="43"/>
      <c r="AC33" s="43"/>
      <c r="AD33" s="43"/>
      <c r="AE33" s="43"/>
      <c r="AF33" s="43"/>
      <c r="AG33" s="43"/>
      <c r="AH33" s="43"/>
      <c r="AI33" s="43"/>
    </row>
    <row r="34" spans="1:35" s="16" customFormat="1" ht="43.5" customHeight="1">
      <c r="A34" s="73" t="s">
        <v>43</v>
      </c>
      <c r="B34" s="32" t="s">
        <v>298</v>
      </c>
      <c r="C34" s="107" t="s">
        <v>4</v>
      </c>
      <c r="D34" s="229">
        <v>1328.05</v>
      </c>
      <c r="E34" s="220" t="s">
        <v>43</v>
      </c>
      <c r="F34" s="32" t="s">
        <v>298</v>
      </c>
      <c r="G34" s="107" t="s">
        <v>4</v>
      </c>
      <c r="H34" s="372">
        <v>1342.47</v>
      </c>
      <c r="I34" s="218">
        <f>K34/J34</f>
        <v>0.45454545454545453</v>
      </c>
      <c r="J34" s="41">
        <v>2.2</v>
      </c>
      <c r="K34" s="34">
        <v>1</v>
      </c>
      <c r="L34" s="34">
        <v>0.2</v>
      </c>
      <c r="M34" s="34">
        <v>0.15</v>
      </c>
      <c r="N34" s="74">
        <f>K34+L34+M34</f>
        <v>1.3499999999999999</v>
      </c>
      <c r="O34" s="187">
        <f aca="true" t="shared" si="14" ref="O34:O65">H34*I34</f>
        <v>610.2136363636364</v>
      </c>
      <c r="P34" s="41">
        <f aca="true" t="shared" si="15" ref="P34:P65">ROUND(H34*K34,2)</f>
        <v>1342.47</v>
      </c>
      <c r="Q34" s="41">
        <f aca="true" t="shared" si="16" ref="Q34:Q65">H34*L34</f>
        <v>268.494</v>
      </c>
      <c r="R34" s="41">
        <f aca="true" t="shared" si="17" ref="R34:R65">ROUND(H34*M34,2)</f>
        <v>201.37</v>
      </c>
      <c r="S34" s="188">
        <f aca="true" t="shared" si="18" ref="S34:S65">R34+Q34+P34</f>
        <v>1812.334</v>
      </c>
      <c r="T34" s="170">
        <v>0</v>
      </c>
      <c r="U34" s="40">
        <f aca="true" t="shared" si="19" ref="U34:U65">T34*K34</f>
        <v>0</v>
      </c>
      <c r="V34" s="40">
        <f aca="true" t="shared" si="20" ref="V34:V65">T34*L34</f>
        <v>0</v>
      </c>
      <c r="W34" s="40">
        <f aca="true" t="shared" si="21" ref="W34:W65">T34*M34</f>
        <v>0</v>
      </c>
      <c r="X34" s="40">
        <f>U34+V34+W34</f>
        <v>0</v>
      </c>
      <c r="Y34" s="40">
        <f>200+1128.05</f>
        <v>1328.05</v>
      </c>
      <c r="Z34" s="40">
        <f t="shared" si="11"/>
        <v>1792.8674999999998</v>
      </c>
      <c r="AA34" s="40">
        <f aca="true" t="shared" si="22" ref="AA34:AA40">S34-X34-Z34</f>
        <v>19.466500000000224</v>
      </c>
      <c r="AB34" s="43"/>
      <c r="AC34" s="43"/>
      <c r="AD34" s="43"/>
      <c r="AE34" s="43"/>
      <c r="AF34" s="43"/>
      <c r="AG34" s="43"/>
      <c r="AH34" s="43"/>
      <c r="AI34" s="43"/>
    </row>
    <row r="35" spans="1:35" s="16" customFormat="1" ht="15" customHeight="1">
      <c r="A35" s="93" t="s">
        <v>44</v>
      </c>
      <c r="B35" s="94" t="s">
        <v>436</v>
      </c>
      <c r="C35" s="202" t="s">
        <v>4</v>
      </c>
      <c r="D35" s="235">
        <v>26</v>
      </c>
      <c r="E35" s="254" t="s">
        <v>44</v>
      </c>
      <c r="F35" s="94" t="s">
        <v>436</v>
      </c>
      <c r="G35" s="202" t="s">
        <v>4</v>
      </c>
      <c r="H35" s="235">
        <v>26</v>
      </c>
      <c r="I35" s="218">
        <f>K35/J35</f>
        <v>1.5909090909090908</v>
      </c>
      <c r="J35" s="41">
        <v>2.2</v>
      </c>
      <c r="K35" s="41">
        <v>3.5</v>
      </c>
      <c r="L35" s="41"/>
      <c r="M35" s="41">
        <v>0.25</v>
      </c>
      <c r="N35" s="74">
        <f aca="true" t="shared" si="23" ref="N35:N78">K35+L35+M35</f>
        <v>3.75</v>
      </c>
      <c r="O35" s="187">
        <f t="shared" si="14"/>
        <v>41.36363636363636</v>
      </c>
      <c r="P35" s="41">
        <f t="shared" si="15"/>
        <v>91</v>
      </c>
      <c r="Q35" s="41">
        <f t="shared" si="16"/>
        <v>0</v>
      </c>
      <c r="R35" s="41">
        <f t="shared" si="17"/>
        <v>6.5</v>
      </c>
      <c r="S35" s="188">
        <f t="shared" si="18"/>
        <v>97.5</v>
      </c>
      <c r="T35" s="170">
        <v>0</v>
      </c>
      <c r="U35" s="40">
        <f t="shared" si="19"/>
        <v>0</v>
      </c>
      <c r="V35" s="40">
        <f t="shared" si="20"/>
        <v>0</v>
      </c>
      <c r="W35" s="40">
        <f t="shared" si="21"/>
        <v>0</v>
      </c>
      <c r="X35" s="40">
        <f aca="true" t="shared" si="24" ref="X35:X98">U35+V35+W35</f>
        <v>0</v>
      </c>
      <c r="Y35" s="40">
        <v>26</v>
      </c>
      <c r="Z35" s="40">
        <f t="shared" si="11"/>
        <v>97.5</v>
      </c>
      <c r="AA35" s="40">
        <f t="shared" si="22"/>
        <v>0</v>
      </c>
      <c r="AB35" s="43"/>
      <c r="AC35" s="43"/>
      <c r="AD35" s="43"/>
      <c r="AE35" s="43"/>
      <c r="AF35" s="43"/>
      <c r="AG35" s="43"/>
      <c r="AH35" s="43"/>
      <c r="AI35" s="43"/>
    </row>
    <row r="36" spans="1:45" s="17" customFormat="1" ht="15" customHeight="1">
      <c r="A36" s="93"/>
      <c r="B36" s="95" t="s">
        <v>158</v>
      </c>
      <c r="C36" s="202" t="s">
        <v>4</v>
      </c>
      <c r="D36" s="235">
        <f>+D35*1.05</f>
        <v>27.3</v>
      </c>
      <c r="E36" s="254"/>
      <c r="F36" s="95" t="s">
        <v>158</v>
      </c>
      <c r="G36" s="202" t="s">
        <v>4</v>
      </c>
      <c r="H36" s="236">
        <v>27.3</v>
      </c>
      <c r="I36" s="216"/>
      <c r="J36" s="41"/>
      <c r="K36" s="41"/>
      <c r="L36" s="41">
        <v>1</v>
      </c>
      <c r="M36" s="41"/>
      <c r="N36" s="74">
        <f t="shared" si="23"/>
        <v>1</v>
      </c>
      <c r="O36" s="187">
        <f t="shared" si="14"/>
        <v>0</v>
      </c>
      <c r="P36" s="41">
        <f t="shared" si="15"/>
        <v>0</v>
      </c>
      <c r="Q36" s="41">
        <f t="shared" si="16"/>
        <v>27.3</v>
      </c>
      <c r="R36" s="41">
        <f t="shared" si="17"/>
        <v>0</v>
      </c>
      <c r="S36" s="188">
        <f t="shared" si="18"/>
        <v>27.3</v>
      </c>
      <c r="T36" s="173">
        <v>0</v>
      </c>
      <c r="U36" s="40">
        <f t="shared" si="19"/>
        <v>0</v>
      </c>
      <c r="V36" s="40">
        <f t="shared" si="20"/>
        <v>0</v>
      </c>
      <c r="W36" s="40">
        <f t="shared" si="21"/>
        <v>0</v>
      </c>
      <c r="X36" s="40">
        <f t="shared" si="24"/>
        <v>0</v>
      </c>
      <c r="Y36" s="96">
        <f>+Y35*1.05</f>
        <v>27.3</v>
      </c>
      <c r="Z36" s="40">
        <f t="shared" si="11"/>
        <v>27.3</v>
      </c>
      <c r="AA36" s="40">
        <f t="shared" si="22"/>
        <v>0</v>
      </c>
      <c r="AB36" s="43"/>
      <c r="AC36" s="43"/>
      <c r="AD36" s="43"/>
      <c r="AE36" s="43"/>
      <c r="AF36" s="43"/>
      <c r="AG36" s="43"/>
      <c r="AH36" s="43"/>
      <c r="AI36" s="43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35" s="16" customFormat="1" ht="15" customHeight="1">
      <c r="A37" s="93"/>
      <c r="B37" s="95" t="s">
        <v>23</v>
      </c>
      <c r="C37" s="202" t="s">
        <v>17</v>
      </c>
      <c r="D37" s="235">
        <f>+D35*0.2</f>
        <v>5.2</v>
      </c>
      <c r="E37" s="254"/>
      <c r="F37" s="95" t="s">
        <v>23</v>
      </c>
      <c r="G37" s="202" t="s">
        <v>17</v>
      </c>
      <c r="H37" s="235">
        <f>+H35*0.2</f>
        <v>5.2</v>
      </c>
      <c r="I37" s="216"/>
      <c r="J37" s="41"/>
      <c r="K37" s="41"/>
      <c r="L37" s="41">
        <v>0.69</v>
      </c>
      <c r="M37" s="41"/>
      <c r="N37" s="74">
        <f t="shared" si="23"/>
        <v>0.69</v>
      </c>
      <c r="O37" s="187">
        <f t="shared" si="14"/>
        <v>0</v>
      </c>
      <c r="P37" s="41">
        <f t="shared" si="15"/>
        <v>0</v>
      </c>
      <c r="Q37" s="41">
        <f t="shared" si="16"/>
        <v>3.5879999999999996</v>
      </c>
      <c r="R37" s="41">
        <f t="shared" si="17"/>
        <v>0</v>
      </c>
      <c r="S37" s="188">
        <f t="shared" si="18"/>
        <v>3.5879999999999996</v>
      </c>
      <c r="T37" s="173">
        <v>0</v>
      </c>
      <c r="U37" s="40">
        <f t="shared" si="19"/>
        <v>0</v>
      </c>
      <c r="V37" s="40">
        <f t="shared" si="20"/>
        <v>0</v>
      </c>
      <c r="W37" s="40">
        <f t="shared" si="21"/>
        <v>0</v>
      </c>
      <c r="X37" s="40">
        <f t="shared" si="24"/>
        <v>0</v>
      </c>
      <c r="Y37" s="96">
        <f>+Y35*0.2</f>
        <v>5.2</v>
      </c>
      <c r="Z37" s="40">
        <f t="shared" si="11"/>
        <v>3.5879999999999996</v>
      </c>
      <c r="AA37" s="40">
        <f t="shared" si="22"/>
        <v>0</v>
      </c>
      <c r="AB37" s="43"/>
      <c r="AC37" s="43"/>
      <c r="AD37" s="43"/>
      <c r="AE37" s="43"/>
      <c r="AF37" s="43"/>
      <c r="AG37" s="43"/>
      <c r="AH37" s="43"/>
      <c r="AI37" s="43"/>
    </row>
    <row r="38" spans="1:35" s="16" customFormat="1" ht="15" customHeight="1">
      <c r="A38" s="93"/>
      <c r="B38" s="95" t="s">
        <v>159</v>
      </c>
      <c r="C38" s="202" t="s">
        <v>8</v>
      </c>
      <c r="D38" s="235">
        <f>+D35*6</f>
        <v>156</v>
      </c>
      <c r="E38" s="254"/>
      <c r="F38" s="95" t="s">
        <v>159</v>
      </c>
      <c r="G38" s="202" t="s">
        <v>8</v>
      </c>
      <c r="H38" s="235">
        <f>+H35*6</f>
        <v>156</v>
      </c>
      <c r="I38" s="216"/>
      <c r="J38" s="41"/>
      <c r="K38" s="41"/>
      <c r="L38" s="41">
        <v>0.1</v>
      </c>
      <c r="M38" s="41"/>
      <c r="N38" s="74">
        <f t="shared" si="23"/>
        <v>0.1</v>
      </c>
      <c r="O38" s="187">
        <f t="shared" si="14"/>
        <v>0</v>
      </c>
      <c r="P38" s="41">
        <f t="shared" si="15"/>
        <v>0</v>
      </c>
      <c r="Q38" s="41">
        <f t="shared" si="16"/>
        <v>15.600000000000001</v>
      </c>
      <c r="R38" s="41">
        <f t="shared" si="17"/>
        <v>0</v>
      </c>
      <c r="S38" s="188">
        <f t="shared" si="18"/>
        <v>15.600000000000001</v>
      </c>
      <c r="T38" s="173">
        <v>0</v>
      </c>
      <c r="U38" s="40">
        <f t="shared" si="19"/>
        <v>0</v>
      </c>
      <c r="V38" s="40">
        <f t="shared" si="20"/>
        <v>0</v>
      </c>
      <c r="W38" s="40">
        <f t="shared" si="21"/>
        <v>0</v>
      </c>
      <c r="X38" s="40">
        <f t="shared" si="24"/>
        <v>0</v>
      </c>
      <c r="Y38" s="96">
        <f>+Y35*6</f>
        <v>156</v>
      </c>
      <c r="Z38" s="40">
        <f t="shared" si="11"/>
        <v>15.600000000000001</v>
      </c>
      <c r="AA38" s="40">
        <f t="shared" si="22"/>
        <v>0</v>
      </c>
      <c r="AB38" s="43"/>
      <c r="AC38" s="43"/>
      <c r="AD38" s="43"/>
      <c r="AE38" s="43"/>
      <c r="AF38" s="43"/>
      <c r="AG38" s="43"/>
      <c r="AH38" s="43"/>
      <c r="AI38" s="43"/>
    </row>
    <row r="39" spans="1:35" s="16" customFormat="1" ht="15" customHeight="1">
      <c r="A39" s="93"/>
      <c r="B39" s="95" t="s">
        <v>160</v>
      </c>
      <c r="C39" s="202" t="s">
        <v>6</v>
      </c>
      <c r="D39" s="235">
        <f>+D35*0.03</f>
        <v>0.78</v>
      </c>
      <c r="E39" s="254"/>
      <c r="F39" s="95" t="s">
        <v>160</v>
      </c>
      <c r="G39" s="202" t="s">
        <v>6</v>
      </c>
      <c r="H39" s="235">
        <f>+H35*0.03</f>
        <v>0.78</v>
      </c>
      <c r="I39" s="216"/>
      <c r="J39" s="41"/>
      <c r="K39" s="41"/>
      <c r="L39" s="41">
        <v>47</v>
      </c>
      <c r="M39" s="41"/>
      <c r="N39" s="74">
        <f t="shared" si="23"/>
        <v>47</v>
      </c>
      <c r="O39" s="187">
        <f t="shared" si="14"/>
        <v>0</v>
      </c>
      <c r="P39" s="41">
        <f t="shared" si="15"/>
        <v>0</v>
      </c>
      <c r="Q39" s="41">
        <f t="shared" si="16"/>
        <v>36.660000000000004</v>
      </c>
      <c r="R39" s="41">
        <f t="shared" si="17"/>
        <v>0</v>
      </c>
      <c r="S39" s="188">
        <f t="shared" si="18"/>
        <v>36.660000000000004</v>
      </c>
      <c r="T39" s="173">
        <v>0</v>
      </c>
      <c r="U39" s="40">
        <f t="shared" si="19"/>
        <v>0</v>
      </c>
      <c r="V39" s="40">
        <f t="shared" si="20"/>
        <v>0</v>
      </c>
      <c r="W39" s="40">
        <f t="shared" si="21"/>
        <v>0</v>
      </c>
      <c r="X39" s="40">
        <f t="shared" si="24"/>
        <v>0</v>
      </c>
      <c r="Y39" s="96">
        <f>+Y35*0.03</f>
        <v>0.78</v>
      </c>
      <c r="Z39" s="40">
        <f t="shared" si="11"/>
        <v>36.660000000000004</v>
      </c>
      <c r="AA39" s="40">
        <f t="shared" si="22"/>
        <v>0</v>
      </c>
      <c r="AB39" s="43"/>
      <c r="AC39" s="43"/>
      <c r="AD39" s="43"/>
      <c r="AE39" s="43"/>
      <c r="AF39" s="43"/>
      <c r="AG39" s="43"/>
      <c r="AH39" s="43"/>
      <c r="AI39" s="43"/>
    </row>
    <row r="40" spans="1:35" s="16" customFormat="1" ht="15" customHeight="1">
      <c r="A40" s="73" t="s">
        <v>46</v>
      </c>
      <c r="B40" s="97" t="s">
        <v>161</v>
      </c>
      <c r="C40" s="199" t="s">
        <v>162</v>
      </c>
      <c r="D40" s="229">
        <v>124</v>
      </c>
      <c r="E40" s="220" t="s">
        <v>46</v>
      </c>
      <c r="F40" s="97" t="s">
        <v>161</v>
      </c>
      <c r="G40" s="199" t="s">
        <v>162</v>
      </c>
      <c r="H40" s="229">
        <v>124</v>
      </c>
      <c r="I40" s="218">
        <f>K40/J40</f>
        <v>0.9090909090909091</v>
      </c>
      <c r="J40" s="41">
        <v>2.2</v>
      </c>
      <c r="K40" s="41">
        <v>2</v>
      </c>
      <c r="L40" s="41">
        <v>1.5</v>
      </c>
      <c r="M40" s="41">
        <v>0.1</v>
      </c>
      <c r="N40" s="74">
        <f t="shared" si="23"/>
        <v>3.6</v>
      </c>
      <c r="O40" s="187">
        <f t="shared" si="14"/>
        <v>112.72727272727272</v>
      </c>
      <c r="P40" s="41">
        <f t="shared" si="15"/>
        <v>248</v>
      </c>
      <c r="Q40" s="41">
        <f t="shared" si="16"/>
        <v>186</v>
      </c>
      <c r="R40" s="41">
        <f t="shared" si="17"/>
        <v>12.4</v>
      </c>
      <c r="S40" s="188">
        <f t="shared" si="18"/>
        <v>446.4</v>
      </c>
      <c r="T40" s="170">
        <v>0</v>
      </c>
      <c r="U40" s="40">
        <f t="shared" si="19"/>
        <v>0</v>
      </c>
      <c r="V40" s="40">
        <f t="shared" si="20"/>
        <v>0</v>
      </c>
      <c r="W40" s="40">
        <f t="shared" si="21"/>
        <v>0</v>
      </c>
      <c r="X40" s="40">
        <f t="shared" si="24"/>
        <v>0</v>
      </c>
      <c r="Y40" s="40">
        <v>124</v>
      </c>
      <c r="Z40" s="40">
        <f t="shared" si="11"/>
        <v>446.40000000000003</v>
      </c>
      <c r="AA40" s="40">
        <f t="shared" si="22"/>
        <v>0</v>
      </c>
      <c r="AB40" s="43"/>
      <c r="AC40" s="43"/>
      <c r="AD40" s="43"/>
      <c r="AE40" s="43"/>
      <c r="AF40" s="43"/>
      <c r="AG40" s="43"/>
      <c r="AH40" s="43"/>
      <c r="AI40" s="43"/>
    </row>
    <row r="41" spans="1:35" s="16" customFormat="1" ht="29.25" customHeight="1">
      <c r="A41" s="73" t="s">
        <v>47</v>
      </c>
      <c r="B41" s="79" t="s">
        <v>262</v>
      </c>
      <c r="C41" s="109" t="s">
        <v>4</v>
      </c>
      <c r="D41" s="230">
        <f>+D33</f>
        <v>1328.05</v>
      </c>
      <c r="E41" s="255" t="s">
        <v>418</v>
      </c>
      <c r="F41" s="420" t="s">
        <v>417</v>
      </c>
      <c r="G41" s="109" t="s">
        <v>4</v>
      </c>
      <c r="H41" s="432">
        <f>+H33+14.42</f>
        <v>1356.89</v>
      </c>
      <c r="I41" s="218">
        <f>K41/J41</f>
        <v>1.727272727272727</v>
      </c>
      <c r="J41" s="41">
        <v>2.2</v>
      </c>
      <c r="K41" s="41">
        <v>3.8</v>
      </c>
      <c r="L41" s="41"/>
      <c r="M41" s="41">
        <v>0.5</v>
      </c>
      <c r="N41" s="74">
        <f t="shared" si="23"/>
        <v>4.3</v>
      </c>
      <c r="O41" s="187">
        <f t="shared" si="14"/>
        <v>2343.719090909091</v>
      </c>
      <c r="P41" s="41">
        <f t="shared" si="15"/>
        <v>5156.18</v>
      </c>
      <c r="Q41" s="41">
        <f t="shared" si="16"/>
        <v>0</v>
      </c>
      <c r="R41" s="41">
        <f t="shared" si="17"/>
        <v>678.45</v>
      </c>
      <c r="S41" s="188">
        <f t="shared" si="18"/>
        <v>5834.63</v>
      </c>
      <c r="T41" s="170">
        <v>28.05</v>
      </c>
      <c r="U41" s="40">
        <f t="shared" si="19"/>
        <v>106.59</v>
      </c>
      <c r="V41" s="40">
        <f t="shared" si="20"/>
        <v>0</v>
      </c>
      <c r="W41" s="40">
        <f t="shared" si="21"/>
        <v>14.025</v>
      </c>
      <c r="X41" s="40">
        <f t="shared" si="24"/>
        <v>120.61500000000001</v>
      </c>
      <c r="Y41" s="40">
        <v>1300</v>
      </c>
      <c r="Z41" s="40">
        <f t="shared" si="11"/>
        <v>5590</v>
      </c>
      <c r="AA41" s="40">
        <f>S41-X41-Z41-0.01</f>
        <v>124.00500000000032</v>
      </c>
      <c r="AB41" s="43"/>
      <c r="AC41" s="43"/>
      <c r="AD41" s="43"/>
      <c r="AE41" s="43"/>
      <c r="AF41" s="43"/>
      <c r="AG41" s="43"/>
      <c r="AH41" s="43"/>
      <c r="AI41" s="43"/>
    </row>
    <row r="42" spans="1:35" s="16" customFormat="1" ht="15" customHeight="1">
      <c r="A42" s="70"/>
      <c r="B42" s="35" t="s">
        <v>23</v>
      </c>
      <c r="C42" s="199" t="s">
        <v>24</v>
      </c>
      <c r="D42" s="229">
        <f>+D41*0.3</f>
        <v>398.41499999999996</v>
      </c>
      <c r="E42" s="251"/>
      <c r="F42" s="35" t="s">
        <v>23</v>
      </c>
      <c r="G42" s="199" t="s">
        <v>24</v>
      </c>
      <c r="H42" s="372">
        <f>+H41*0.3</f>
        <v>407.067</v>
      </c>
      <c r="I42" s="216"/>
      <c r="J42" s="41"/>
      <c r="K42" s="41"/>
      <c r="L42" s="41">
        <v>0.69</v>
      </c>
      <c r="M42" s="41"/>
      <c r="N42" s="74">
        <f t="shared" si="23"/>
        <v>0.69</v>
      </c>
      <c r="O42" s="187">
        <f t="shared" si="14"/>
        <v>0</v>
      </c>
      <c r="P42" s="41">
        <f t="shared" si="15"/>
        <v>0</v>
      </c>
      <c r="Q42" s="41">
        <f t="shared" si="16"/>
        <v>280.87622999999996</v>
      </c>
      <c r="R42" s="41">
        <f t="shared" si="17"/>
        <v>0</v>
      </c>
      <c r="S42" s="188">
        <f t="shared" si="18"/>
        <v>280.87622999999996</v>
      </c>
      <c r="T42" s="174">
        <v>14.12</v>
      </c>
      <c r="U42" s="40">
        <f t="shared" si="19"/>
        <v>0</v>
      </c>
      <c r="V42" s="40">
        <f t="shared" si="20"/>
        <v>9.742799999999999</v>
      </c>
      <c r="W42" s="40">
        <f t="shared" si="21"/>
        <v>0</v>
      </c>
      <c r="X42" s="40">
        <f t="shared" si="24"/>
        <v>9.742799999999999</v>
      </c>
      <c r="Y42" s="71">
        <v>384.3</v>
      </c>
      <c r="Z42" s="40">
        <f t="shared" si="11"/>
        <v>265.167</v>
      </c>
      <c r="AA42" s="40">
        <f aca="true" t="shared" si="25" ref="AA42:AA60">S42-X42-Z42</f>
        <v>5.966430000000003</v>
      </c>
      <c r="AB42" s="43"/>
      <c r="AC42" s="43"/>
      <c r="AD42" s="43"/>
      <c r="AE42" s="43"/>
      <c r="AF42" s="43"/>
      <c r="AG42" s="43"/>
      <c r="AH42" s="43"/>
      <c r="AI42" s="43"/>
    </row>
    <row r="43" spans="1:35" s="16" customFormat="1" ht="28.5" customHeight="1">
      <c r="A43" s="70"/>
      <c r="B43" s="38" t="s">
        <v>263</v>
      </c>
      <c r="C43" s="199" t="s">
        <v>4</v>
      </c>
      <c r="D43" s="229">
        <f>1242.79*1.03</f>
        <v>1280.0737</v>
      </c>
      <c r="E43" s="251"/>
      <c r="F43" s="418" t="s">
        <v>364</v>
      </c>
      <c r="G43" s="199" t="s">
        <v>4</v>
      </c>
      <c r="H43" s="433">
        <f>1242.79*1.03</f>
        <v>1280.0737</v>
      </c>
      <c r="I43" s="216"/>
      <c r="J43" s="41"/>
      <c r="K43" s="41"/>
      <c r="L43" s="41">
        <v>4.4</v>
      </c>
      <c r="M43" s="41"/>
      <c r="N43" s="74">
        <f t="shared" si="23"/>
        <v>4.4</v>
      </c>
      <c r="O43" s="187">
        <f t="shared" si="14"/>
        <v>0</v>
      </c>
      <c r="P43" s="41">
        <f t="shared" si="15"/>
        <v>0</v>
      </c>
      <c r="Q43" s="41">
        <f t="shared" si="16"/>
        <v>5632.32428</v>
      </c>
      <c r="R43" s="41">
        <f t="shared" si="17"/>
        <v>0</v>
      </c>
      <c r="S43" s="188">
        <f t="shared" si="18"/>
        <v>5632.32428</v>
      </c>
      <c r="T43" s="174">
        <v>0</v>
      </c>
      <c r="U43" s="40">
        <f t="shared" si="19"/>
        <v>0</v>
      </c>
      <c r="V43" s="40">
        <f t="shared" si="20"/>
        <v>0</v>
      </c>
      <c r="W43" s="40">
        <f t="shared" si="21"/>
        <v>0</v>
      </c>
      <c r="X43" s="40">
        <f>U43+V43+W43+0.02</f>
        <v>0.02</v>
      </c>
      <c r="Y43" s="71">
        <f>770+510.07</f>
        <v>1280.07</v>
      </c>
      <c r="Z43" s="40">
        <f t="shared" si="11"/>
        <v>5632.308</v>
      </c>
      <c r="AA43" s="40">
        <f t="shared" si="25"/>
        <v>-0.0037200000006123446</v>
      </c>
      <c r="AB43" s="43"/>
      <c r="AC43" s="43"/>
      <c r="AD43" s="43"/>
      <c r="AE43" s="43"/>
      <c r="AF43" s="43"/>
      <c r="AG43" s="43"/>
      <c r="AH43" s="43"/>
      <c r="AI43" s="43"/>
    </row>
    <row r="44" spans="1:35" s="16" customFormat="1" ht="30.75" customHeight="1">
      <c r="A44" s="70"/>
      <c r="B44" s="38" t="s">
        <v>163</v>
      </c>
      <c r="C44" s="199" t="s">
        <v>4</v>
      </c>
      <c r="D44" s="229">
        <f>85.26*1.03</f>
        <v>87.8178</v>
      </c>
      <c r="E44" s="251"/>
      <c r="F44" s="418" t="s">
        <v>365</v>
      </c>
      <c r="G44" s="199" t="s">
        <v>4</v>
      </c>
      <c r="H44" s="433">
        <f>85.26*1.03</f>
        <v>87.8178</v>
      </c>
      <c r="I44" s="216"/>
      <c r="J44" s="41"/>
      <c r="K44" s="41"/>
      <c r="L44" s="41">
        <v>2.3</v>
      </c>
      <c r="M44" s="41"/>
      <c r="N44" s="74">
        <f t="shared" si="23"/>
        <v>2.3</v>
      </c>
      <c r="O44" s="187">
        <f t="shared" si="14"/>
        <v>0</v>
      </c>
      <c r="P44" s="41">
        <f t="shared" si="15"/>
        <v>0</v>
      </c>
      <c r="Q44" s="41">
        <f t="shared" si="16"/>
        <v>201.98094</v>
      </c>
      <c r="R44" s="41">
        <f t="shared" si="17"/>
        <v>0</v>
      </c>
      <c r="S44" s="188">
        <f t="shared" si="18"/>
        <v>201.98094</v>
      </c>
      <c r="T44" s="174">
        <v>0</v>
      </c>
      <c r="U44" s="40">
        <f t="shared" si="19"/>
        <v>0</v>
      </c>
      <c r="V44" s="40">
        <f t="shared" si="20"/>
        <v>0</v>
      </c>
      <c r="W44" s="40">
        <f t="shared" si="21"/>
        <v>0</v>
      </c>
      <c r="X44" s="40">
        <f t="shared" si="24"/>
        <v>0</v>
      </c>
      <c r="Y44" s="71">
        <f>72+15.82</f>
        <v>87.82</v>
      </c>
      <c r="Z44" s="40">
        <f>Y44*N44-0.01</f>
        <v>201.97599999999997</v>
      </c>
      <c r="AA44" s="40">
        <f t="shared" si="25"/>
        <v>0.004940000000033251</v>
      </c>
      <c r="AB44" s="43"/>
      <c r="AC44" s="43"/>
      <c r="AD44" s="43"/>
      <c r="AE44" s="43"/>
      <c r="AF44" s="43"/>
      <c r="AG44" s="43"/>
      <c r="AH44" s="43"/>
      <c r="AI44" s="43"/>
    </row>
    <row r="45" spans="1:35" s="16" customFormat="1" ht="15" customHeight="1">
      <c r="A45" s="70"/>
      <c r="B45" s="35" t="s">
        <v>16</v>
      </c>
      <c r="C45" s="199" t="s">
        <v>17</v>
      </c>
      <c r="D45" s="229">
        <f>+D41*4</f>
        <v>5312.2</v>
      </c>
      <c r="E45" s="251"/>
      <c r="F45" s="35" t="s">
        <v>16</v>
      </c>
      <c r="G45" s="199" t="s">
        <v>17</v>
      </c>
      <c r="H45" s="372">
        <f>+H41*4</f>
        <v>5427.56</v>
      </c>
      <c r="I45" s="216"/>
      <c r="J45" s="41"/>
      <c r="K45" s="41"/>
      <c r="L45" s="41">
        <v>0.11</v>
      </c>
      <c r="M45" s="41"/>
      <c r="N45" s="74">
        <f t="shared" si="23"/>
        <v>0.11</v>
      </c>
      <c r="O45" s="187">
        <f t="shared" si="14"/>
        <v>0</v>
      </c>
      <c r="P45" s="41">
        <f t="shared" si="15"/>
        <v>0</v>
      </c>
      <c r="Q45" s="41">
        <f t="shared" si="16"/>
        <v>597.0316</v>
      </c>
      <c r="R45" s="41">
        <f t="shared" si="17"/>
        <v>0</v>
      </c>
      <c r="S45" s="188">
        <f t="shared" si="18"/>
        <v>597.0316</v>
      </c>
      <c r="T45" s="174">
        <v>0</v>
      </c>
      <c r="U45" s="40">
        <f t="shared" si="19"/>
        <v>0</v>
      </c>
      <c r="V45" s="40">
        <f t="shared" si="20"/>
        <v>0</v>
      </c>
      <c r="W45" s="40">
        <f t="shared" si="21"/>
        <v>0</v>
      </c>
      <c r="X45" s="40">
        <f t="shared" si="24"/>
        <v>0</v>
      </c>
      <c r="Y45" s="71">
        <v>5312.2</v>
      </c>
      <c r="Z45" s="40">
        <f t="shared" si="11"/>
        <v>584.342</v>
      </c>
      <c r="AA45" s="40">
        <f t="shared" si="25"/>
        <v>12.689600000000041</v>
      </c>
      <c r="AB45" s="43"/>
      <c r="AC45" s="43"/>
      <c r="AD45" s="43"/>
      <c r="AE45" s="43"/>
      <c r="AF45" s="43"/>
      <c r="AG45" s="43"/>
      <c r="AH45" s="43"/>
      <c r="AI45" s="43"/>
    </row>
    <row r="46" spans="1:35" s="16" customFormat="1" ht="15" customHeight="1">
      <c r="A46" s="70"/>
      <c r="B46" s="35" t="s">
        <v>18</v>
      </c>
      <c r="C46" s="199" t="s">
        <v>17</v>
      </c>
      <c r="D46" s="229">
        <f>+D41*5</f>
        <v>6640.25</v>
      </c>
      <c r="E46" s="251"/>
      <c r="F46" s="35" t="s">
        <v>18</v>
      </c>
      <c r="G46" s="199" t="s">
        <v>17</v>
      </c>
      <c r="H46" s="372">
        <f>+H41*5+667*0.2*5</f>
        <v>7451.450000000001</v>
      </c>
      <c r="I46" s="216"/>
      <c r="J46" s="41"/>
      <c r="K46" s="41"/>
      <c r="L46" s="41">
        <v>0.12</v>
      </c>
      <c r="M46" s="41"/>
      <c r="N46" s="74">
        <f t="shared" si="23"/>
        <v>0.12</v>
      </c>
      <c r="O46" s="187">
        <f t="shared" si="14"/>
        <v>0</v>
      </c>
      <c r="P46" s="41">
        <f t="shared" si="15"/>
        <v>0</v>
      </c>
      <c r="Q46" s="41">
        <f t="shared" si="16"/>
        <v>894.1740000000001</v>
      </c>
      <c r="R46" s="41">
        <f t="shared" si="17"/>
        <v>0</v>
      </c>
      <c r="S46" s="188">
        <f t="shared" si="18"/>
        <v>894.1740000000001</v>
      </c>
      <c r="T46" s="174">
        <v>0</v>
      </c>
      <c r="U46" s="40">
        <f t="shared" si="19"/>
        <v>0</v>
      </c>
      <c r="V46" s="40">
        <f t="shared" si="20"/>
        <v>0</v>
      </c>
      <c r="W46" s="40">
        <f t="shared" si="21"/>
        <v>0</v>
      </c>
      <c r="X46" s="40">
        <f t="shared" si="24"/>
        <v>0</v>
      </c>
      <c r="Y46" s="71">
        <f>1964.67+4675.58</f>
        <v>6640.25</v>
      </c>
      <c r="Z46" s="40">
        <f t="shared" si="11"/>
        <v>796.8299999999999</v>
      </c>
      <c r="AA46" s="40">
        <f t="shared" si="25"/>
        <v>97.34400000000016</v>
      </c>
      <c r="AB46" s="43"/>
      <c r="AC46" s="43"/>
      <c r="AD46" s="43"/>
      <c r="AE46" s="43"/>
      <c r="AF46" s="43"/>
      <c r="AG46" s="43"/>
      <c r="AH46" s="43"/>
      <c r="AI46" s="43"/>
    </row>
    <row r="47" spans="1:35" s="16" customFormat="1" ht="12.75" customHeight="1">
      <c r="A47" s="70"/>
      <c r="B47" s="35" t="s">
        <v>36</v>
      </c>
      <c r="C47" s="199" t="s">
        <v>8</v>
      </c>
      <c r="D47" s="229">
        <f>+D41*5</f>
        <v>6640.25</v>
      </c>
      <c r="E47" s="251"/>
      <c r="F47" s="35" t="s">
        <v>36</v>
      </c>
      <c r="G47" s="199" t="s">
        <v>8</v>
      </c>
      <c r="H47" s="372">
        <f>+H41*5</f>
        <v>6784.450000000001</v>
      </c>
      <c r="I47" s="216"/>
      <c r="J47" s="41"/>
      <c r="K47" s="41"/>
      <c r="L47" s="41">
        <v>0.11</v>
      </c>
      <c r="M47" s="41"/>
      <c r="N47" s="74">
        <f t="shared" si="23"/>
        <v>0.11</v>
      </c>
      <c r="O47" s="187">
        <f t="shared" si="14"/>
        <v>0</v>
      </c>
      <c r="P47" s="41">
        <f t="shared" si="15"/>
        <v>0</v>
      </c>
      <c r="Q47" s="41">
        <f t="shared" si="16"/>
        <v>746.2895000000001</v>
      </c>
      <c r="R47" s="41">
        <f t="shared" si="17"/>
        <v>0</v>
      </c>
      <c r="S47" s="188">
        <f t="shared" si="18"/>
        <v>746.2895000000001</v>
      </c>
      <c r="T47" s="174">
        <v>640.25</v>
      </c>
      <c r="U47" s="40">
        <f t="shared" si="19"/>
        <v>0</v>
      </c>
      <c r="V47" s="40">
        <f t="shared" si="20"/>
        <v>70.4275</v>
      </c>
      <c r="W47" s="40">
        <f t="shared" si="21"/>
        <v>0</v>
      </c>
      <c r="X47" s="40">
        <f t="shared" si="24"/>
        <v>70.4275</v>
      </c>
      <c r="Y47" s="71">
        <v>6000</v>
      </c>
      <c r="Z47" s="40">
        <f t="shared" si="11"/>
        <v>660</v>
      </c>
      <c r="AA47" s="40">
        <f t="shared" si="25"/>
        <v>15.86200000000008</v>
      </c>
      <c r="AB47" s="43"/>
      <c r="AC47" s="43"/>
      <c r="AD47" s="43"/>
      <c r="AE47" s="43"/>
      <c r="AF47" s="43"/>
      <c r="AG47" s="43"/>
      <c r="AH47" s="43"/>
      <c r="AI47" s="43"/>
    </row>
    <row r="48" spans="1:35" s="16" customFormat="1" ht="15" customHeight="1">
      <c r="A48" s="70"/>
      <c r="B48" s="35" t="s">
        <v>19</v>
      </c>
      <c r="C48" s="199" t="s">
        <v>4</v>
      </c>
      <c r="D48" s="229">
        <f>+D41*1.1</f>
        <v>1460.855</v>
      </c>
      <c r="E48" s="251"/>
      <c r="F48" s="35" t="s">
        <v>19</v>
      </c>
      <c r="G48" s="199" t="s">
        <v>4</v>
      </c>
      <c r="H48" s="372">
        <f>+H41*1.1+667*0.2*1.05</f>
        <v>1632.6490000000001</v>
      </c>
      <c r="I48" s="216"/>
      <c r="J48" s="41"/>
      <c r="K48" s="41"/>
      <c r="L48" s="41">
        <v>0.38</v>
      </c>
      <c r="M48" s="41"/>
      <c r="N48" s="74">
        <f t="shared" si="23"/>
        <v>0.38</v>
      </c>
      <c r="O48" s="187">
        <f t="shared" si="14"/>
        <v>0</v>
      </c>
      <c r="P48" s="41">
        <f t="shared" si="15"/>
        <v>0</v>
      </c>
      <c r="Q48" s="41">
        <f t="shared" si="16"/>
        <v>620.4066200000001</v>
      </c>
      <c r="R48" s="41">
        <f t="shared" si="17"/>
        <v>0</v>
      </c>
      <c r="S48" s="188">
        <f t="shared" si="18"/>
        <v>620.4066200000001</v>
      </c>
      <c r="T48" s="174">
        <v>35.86</v>
      </c>
      <c r="U48" s="40">
        <f t="shared" si="19"/>
        <v>0</v>
      </c>
      <c r="V48" s="40">
        <f t="shared" si="20"/>
        <v>13.6268</v>
      </c>
      <c r="W48" s="40">
        <f t="shared" si="21"/>
        <v>0</v>
      </c>
      <c r="X48" s="40">
        <f t="shared" si="24"/>
        <v>13.6268</v>
      </c>
      <c r="Y48" s="71">
        <v>1425</v>
      </c>
      <c r="Z48" s="40">
        <f t="shared" si="11"/>
        <v>541.5</v>
      </c>
      <c r="AA48" s="40">
        <f t="shared" si="25"/>
        <v>65.27982000000009</v>
      </c>
      <c r="AB48" s="43"/>
      <c r="AC48" s="43"/>
      <c r="AD48" s="43"/>
      <c r="AE48" s="43"/>
      <c r="AF48" s="43"/>
      <c r="AG48" s="43"/>
      <c r="AH48" s="43"/>
      <c r="AI48" s="43"/>
    </row>
    <row r="49" spans="1:35" s="16" customFormat="1" ht="15" customHeight="1">
      <c r="A49" s="70"/>
      <c r="B49" s="35" t="s">
        <v>20</v>
      </c>
      <c r="C49" s="199" t="s">
        <v>3</v>
      </c>
      <c r="D49" s="229">
        <f>1250*1.1</f>
        <v>1375</v>
      </c>
      <c r="E49" s="251"/>
      <c r="F49" s="35" t="s">
        <v>20</v>
      </c>
      <c r="G49" s="199" t="s">
        <v>3</v>
      </c>
      <c r="H49" s="372">
        <f>1250*1.1/D41*H41</f>
        <v>1404.8595685403411</v>
      </c>
      <c r="I49" s="216"/>
      <c r="J49" s="41"/>
      <c r="K49" s="41"/>
      <c r="L49" s="41">
        <v>0.26</v>
      </c>
      <c r="M49" s="41"/>
      <c r="N49" s="74">
        <f t="shared" si="23"/>
        <v>0.26</v>
      </c>
      <c r="O49" s="187">
        <f t="shared" si="14"/>
        <v>0</v>
      </c>
      <c r="P49" s="41">
        <f t="shared" si="15"/>
        <v>0</v>
      </c>
      <c r="Q49" s="41">
        <f t="shared" si="16"/>
        <v>365.2634878204887</v>
      </c>
      <c r="R49" s="41">
        <f t="shared" si="17"/>
        <v>0</v>
      </c>
      <c r="S49" s="188">
        <f t="shared" si="18"/>
        <v>365.2634878204887</v>
      </c>
      <c r="T49" s="174">
        <v>50</v>
      </c>
      <c r="U49" s="40">
        <f t="shared" si="19"/>
        <v>0</v>
      </c>
      <c r="V49" s="40">
        <f t="shared" si="20"/>
        <v>13</v>
      </c>
      <c r="W49" s="40">
        <f t="shared" si="21"/>
        <v>0</v>
      </c>
      <c r="X49" s="40">
        <f t="shared" si="24"/>
        <v>13</v>
      </c>
      <c r="Y49" s="71">
        <f>125+1200</f>
        <v>1325</v>
      </c>
      <c r="Z49" s="40">
        <f t="shared" si="11"/>
        <v>344.5</v>
      </c>
      <c r="AA49" s="40">
        <f t="shared" si="25"/>
        <v>7.763487820488706</v>
      </c>
      <c r="AB49" s="43"/>
      <c r="AC49" s="43"/>
      <c r="AD49" s="43"/>
      <c r="AE49" s="43"/>
      <c r="AF49" s="43"/>
      <c r="AG49" s="43"/>
      <c r="AH49" s="43"/>
      <c r="AI49" s="43"/>
    </row>
    <row r="50" spans="1:35" s="16" customFormat="1" ht="15" customHeight="1">
      <c r="A50" s="70"/>
      <c r="B50" s="35" t="s">
        <v>299</v>
      </c>
      <c r="C50" s="199" t="s">
        <v>3</v>
      </c>
      <c r="D50" s="229">
        <f>150*1.05</f>
        <v>157.5</v>
      </c>
      <c r="E50" s="251"/>
      <c r="F50" s="35" t="s">
        <v>299</v>
      </c>
      <c r="G50" s="199" t="s">
        <v>3</v>
      </c>
      <c r="H50" s="229">
        <f>150*1.05</f>
        <v>157.5</v>
      </c>
      <c r="I50" s="216"/>
      <c r="J50" s="41"/>
      <c r="K50" s="41"/>
      <c r="L50" s="41">
        <v>1.5</v>
      </c>
      <c r="M50" s="41"/>
      <c r="N50" s="74">
        <f t="shared" si="23"/>
        <v>1.5</v>
      </c>
      <c r="O50" s="187">
        <f t="shared" si="14"/>
        <v>0</v>
      </c>
      <c r="P50" s="41">
        <f t="shared" si="15"/>
        <v>0</v>
      </c>
      <c r="Q50" s="41">
        <f t="shared" si="16"/>
        <v>236.25</v>
      </c>
      <c r="R50" s="41">
        <f t="shared" si="17"/>
        <v>0</v>
      </c>
      <c r="S50" s="188">
        <f t="shared" si="18"/>
        <v>236.25</v>
      </c>
      <c r="T50" s="174">
        <v>0</v>
      </c>
      <c r="U50" s="40">
        <f t="shared" si="19"/>
        <v>0</v>
      </c>
      <c r="V50" s="40">
        <f t="shared" si="20"/>
        <v>0</v>
      </c>
      <c r="W50" s="40">
        <f t="shared" si="21"/>
        <v>0</v>
      </c>
      <c r="X50" s="40">
        <f t="shared" si="24"/>
        <v>0</v>
      </c>
      <c r="Y50" s="71">
        <v>157.5</v>
      </c>
      <c r="Z50" s="40">
        <f t="shared" si="11"/>
        <v>236.25</v>
      </c>
      <c r="AA50" s="40">
        <f t="shared" si="25"/>
        <v>0</v>
      </c>
      <c r="AB50" s="43"/>
      <c r="AC50" s="43"/>
      <c r="AD50" s="43"/>
      <c r="AE50" s="43"/>
      <c r="AF50" s="43"/>
      <c r="AG50" s="43"/>
      <c r="AH50" s="43"/>
      <c r="AI50" s="43"/>
    </row>
    <row r="51" spans="1:35" s="16" customFormat="1" ht="15" customHeight="1">
      <c r="A51" s="70" t="s">
        <v>306</v>
      </c>
      <c r="B51" s="37" t="s">
        <v>21</v>
      </c>
      <c r="C51" s="199" t="s">
        <v>4</v>
      </c>
      <c r="D51" s="229">
        <f>+D41</f>
        <v>1328.05</v>
      </c>
      <c r="E51" s="255" t="s">
        <v>419</v>
      </c>
      <c r="F51" s="37" t="s">
        <v>21</v>
      </c>
      <c r="G51" s="199" t="s">
        <v>4</v>
      </c>
      <c r="H51" s="372">
        <f>+H41+H60*0.2+14.42</f>
        <v>1504.7100000000003</v>
      </c>
      <c r="I51" s="218">
        <f>K51/J51</f>
        <v>0.5454545454545454</v>
      </c>
      <c r="J51" s="41">
        <v>2.2</v>
      </c>
      <c r="K51" s="34">
        <v>1.2</v>
      </c>
      <c r="L51" s="41"/>
      <c r="M51" s="41">
        <v>0.05</v>
      </c>
      <c r="N51" s="74">
        <f t="shared" si="23"/>
        <v>1.25</v>
      </c>
      <c r="O51" s="187">
        <f t="shared" si="14"/>
        <v>820.7509090909092</v>
      </c>
      <c r="P51" s="41">
        <f t="shared" si="15"/>
        <v>1805.65</v>
      </c>
      <c r="Q51" s="41">
        <f t="shared" si="16"/>
        <v>0</v>
      </c>
      <c r="R51" s="41">
        <f t="shared" si="17"/>
        <v>75.24</v>
      </c>
      <c r="S51" s="188">
        <f t="shared" si="18"/>
        <v>1880.89</v>
      </c>
      <c r="T51" s="170">
        <v>0</v>
      </c>
      <c r="U51" s="40">
        <f t="shared" si="19"/>
        <v>0</v>
      </c>
      <c r="V51" s="40">
        <f t="shared" si="20"/>
        <v>0</v>
      </c>
      <c r="W51" s="40">
        <f t="shared" si="21"/>
        <v>0</v>
      </c>
      <c r="X51" s="40">
        <f t="shared" si="24"/>
        <v>0</v>
      </c>
      <c r="Y51" s="40">
        <v>500</v>
      </c>
      <c r="Z51" s="40">
        <f t="shared" si="11"/>
        <v>625</v>
      </c>
      <c r="AA51" s="40">
        <f t="shared" si="25"/>
        <v>1255.89</v>
      </c>
      <c r="AB51" s="43"/>
      <c r="AC51" s="43"/>
      <c r="AD51" s="43"/>
      <c r="AE51" s="43"/>
      <c r="AF51" s="43"/>
      <c r="AG51" s="43"/>
      <c r="AH51" s="43"/>
      <c r="AI51" s="43"/>
    </row>
    <row r="52" spans="1:35" s="16" customFormat="1" ht="15" customHeight="1">
      <c r="A52" s="70"/>
      <c r="B52" s="35" t="s">
        <v>22</v>
      </c>
      <c r="C52" s="199" t="s">
        <v>17</v>
      </c>
      <c r="D52" s="229">
        <f>+D51*4</f>
        <v>5312.2</v>
      </c>
      <c r="E52" s="251"/>
      <c r="F52" s="35" t="s">
        <v>22</v>
      </c>
      <c r="G52" s="199" t="s">
        <v>17</v>
      </c>
      <c r="H52" s="372">
        <f>+H51*4</f>
        <v>6018.840000000001</v>
      </c>
      <c r="I52" s="216"/>
      <c r="J52" s="41"/>
      <c r="K52" s="34"/>
      <c r="L52" s="41">
        <v>0.25</v>
      </c>
      <c r="M52" s="41"/>
      <c r="N52" s="74">
        <f t="shared" si="23"/>
        <v>0.25</v>
      </c>
      <c r="O52" s="187">
        <f t="shared" si="14"/>
        <v>0</v>
      </c>
      <c r="P52" s="41">
        <f t="shared" si="15"/>
        <v>0</v>
      </c>
      <c r="Q52" s="41">
        <f t="shared" si="16"/>
        <v>1504.7100000000003</v>
      </c>
      <c r="R52" s="41">
        <f t="shared" si="17"/>
        <v>0</v>
      </c>
      <c r="S52" s="188">
        <f t="shared" si="18"/>
        <v>1504.7100000000003</v>
      </c>
      <c r="T52" s="170">
        <v>0</v>
      </c>
      <c r="U52" s="40">
        <f t="shared" si="19"/>
        <v>0</v>
      </c>
      <c r="V52" s="40">
        <f t="shared" si="20"/>
        <v>0</v>
      </c>
      <c r="W52" s="40">
        <f t="shared" si="21"/>
        <v>0</v>
      </c>
      <c r="X52" s="40">
        <f t="shared" si="24"/>
        <v>0</v>
      </c>
      <c r="Y52" s="40">
        <v>5312.2</v>
      </c>
      <c r="Z52" s="40">
        <f t="shared" si="11"/>
        <v>1328.05</v>
      </c>
      <c r="AA52" s="40">
        <f t="shared" si="25"/>
        <v>176.6600000000003</v>
      </c>
      <c r="AB52" s="43"/>
      <c r="AC52" s="43"/>
      <c r="AD52" s="43"/>
      <c r="AE52" s="43"/>
      <c r="AF52" s="43"/>
      <c r="AG52" s="43"/>
      <c r="AH52" s="43"/>
      <c r="AI52" s="43"/>
    </row>
    <row r="53" spans="1:35" s="16" customFormat="1" ht="15" customHeight="1">
      <c r="A53" s="70"/>
      <c r="B53" s="35" t="s">
        <v>23</v>
      </c>
      <c r="C53" s="199" t="s">
        <v>24</v>
      </c>
      <c r="D53" s="229">
        <f>+D51*0.2</f>
        <v>265.61</v>
      </c>
      <c r="E53" s="251"/>
      <c r="F53" s="35" t="s">
        <v>23</v>
      </c>
      <c r="G53" s="199" t="s">
        <v>24</v>
      </c>
      <c r="H53" s="372">
        <f>+H51*0.2</f>
        <v>300.94200000000006</v>
      </c>
      <c r="I53" s="216"/>
      <c r="J53" s="41"/>
      <c r="K53" s="34"/>
      <c r="L53" s="41">
        <v>0.69</v>
      </c>
      <c r="M53" s="41"/>
      <c r="N53" s="74">
        <f t="shared" si="23"/>
        <v>0.69</v>
      </c>
      <c r="O53" s="187">
        <f t="shared" si="14"/>
        <v>0</v>
      </c>
      <c r="P53" s="41">
        <f t="shared" si="15"/>
        <v>0</v>
      </c>
      <c r="Q53" s="41">
        <f t="shared" si="16"/>
        <v>207.64998000000003</v>
      </c>
      <c r="R53" s="41">
        <f t="shared" si="17"/>
        <v>0</v>
      </c>
      <c r="S53" s="188">
        <f t="shared" si="18"/>
        <v>207.64998000000003</v>
      </c>
      <c r="T53" s="170">
        <v>0</v>
      </c>
      <c r="U53" s="40">
        <f t="shared" si="19"/>
        <v>0</v>
      </c>
      <c r="V53" s="40">
        <f t="shared" si="20"/>
        <v>0</v>
      </c>
      <c r="W53" s="40">
        <f t="shared" si="21"/>
        <v>0</v>
      </c>
      <c r="X53" s="40">
        <f t="shared" si="24"/>
        <v>0</v>
      </c>
      <c r="Y53" s="40">
        <v>200</v>
      </c>
      <c r="Z53" s="40">
        <f t="shared" si="11"/>
        <v>138</v>
      </c>
      <c r="AA53" s="40">
        <f t="shared" si="25"/>
        <v>69.64998000000003</v>
      </c>
      <c r="AB53" s="43"/>
      <c r="AC53" s="43"/>
      <c r="AD53" s="43"/>
      <c r="AE53" s="43"/>
      <c r="AF53" s="43"/>
      <c r="AG53" s="43"/>
      <c r="AH53" s="43"/>
      <c r="AI53" s="43"/>
    </row>
    <row r="54" spans="1:35" s="16" customFormat="1" ht="15" customHeight="1">
      <c r="A54" s="70" t="s">
        <v>49</v>
      </c>
      <c r="B54" s="32" t="s">
        <v>25</v>
      </c>
      <c r="C54" s="109" t="s">
        <v>4</v>
      </c>
      <c r="D54" s="230">
        <f>+D51</f>
        <v>1328.05</v>
      </c>
      <c r="E54" s="255" t="s">
        <v>420</v>
      </c>
      <c r="F54" s="32" t="s">
        <v>25</v>
      </c>
      <c r="G54" s="109" t="s">
        <v>4</v>
      </c>
      <c r="H54" s="401">
        <f>1328.05+14.42</f>
        <v>1342.47</v>
      </c>
      <c r="I54" s="218">
        <f>K54/J54</f>
        <v>0.45454545454545453</v>
      </c>
      <c r="J54" s="41">
        <v>2.2</v>
      </c>
      <c r="K54" s="34">
        <v>1</v>
      </c>
      <c r="L54" s="41"/>
      <c r="M54" s="41">
        <v>0.05</v>
      </c>
      <c r="N54" s="74">
        <f t="shared" si="23"/>
        <v>1.05</v>
      </c>
      <c r="O54" s="187">
        <f t="shared" si="14"/>
        <v>610.2136363636364</v>
      </c>
      <c r="P54" s="41">
        <f t="shared" si="15"/>
        <v>1342.47</v>
      </c>
      <c r="Q54" s="41">
        <f t="shared" si="16"/>
        <v>0</v>
      </c>
      <c r="R54" s="41">
        <f t="shared" si="17"/>
        <v>67.12</v>
      </c>
      <c r="S54" s="188">
        <f t="shared" si="18"/>
        <v>1409.5900000000001</v>
      </c>
      <c r="T54" s="170">
        <v>0</v>
      </c>
      <c r="U54" s="40">
        <f t="shared" si="19"/>
        <v>0</v>
      </c>
      <c r="V54" s="40">
        <f t="shared" si="20"/>
        <v>0</v>
      </c>
      <c r="W54" s="40">
        <f t="shared" si="21"/>
        <v>0</v>
      </c>
      <c r="X54" s="40">
        <f t="shared" si="24"/>
        <v>0</v>
      </c>
      <c r="Y54" s="40">
        <v>265.61</v>
      </c>
      <c r="Z54" s="40">
        <f t="shared" si="11"/>
        <v>278.89050000000003</v>
      </c>
      <c r="AA54" s="40">
        <f t="shared" si="25"/>
        <v>1130.6995000000002</v>
      </c>
      <c r="AB54" s="43"/>
      <c r="AC54" s="43"/>
      <c r="AD54" s="43"/>
      <c r="AE54" s="43"/>
      <c r="AF54" s="43"/>
      <c r="AG54" s="43"/>
      <c r="AH54" s="43"/>
      <c r="AI54" s="43"/>
    </row>
    <row r="55" spans="1:35" s="16" customFormat="1" ht="15" customHeight="1">
      <c r="A55" s="70"/>
      <c r="B55" s="35" t="s">
        <v>23</v>
      </c>
      <c r="C55" s="199" t="s">
        <v>24</v>
      </c>
      <c r="D55" s="229">
        <f>+D54*0.2</f>
        <v>265.61</v>
      </c>
      <c r="E55" s="251"/>
      <c r="F55" s="35" t="s">
        <v>23</v>
      </c>
      <c r="G55" s="199" t="s">
        <v>24</v>
      </c>
      <c r="H55" s="372">
        <f>D55/D54*H54</f>
        <v>268.494</v>
      </c>
      <c r="I55" s="216"/>
      <c r="J55" s="41"/>
      <c r="K55" s="34"/>
      <c r="L55" s="41">
        <v>1.85</v>
      </c>
      <c r="M55" s="41"/>
      <c r="N55" s="74">
        <f t="shared" si="23"/>
        <v>1.85</v>
      </c>
      <c r="O55" s="187">
        <f t="shared" si="14"/>
        <v>0</v>
      </c>
      <c r="P55" s="41">
        <f t="shared" si="15"/>
        <v>0</v>
      </c>
      <c r="Q55" s="41">
        <f t="shared" si="16"/>
        <v>496.7139000000001</v>
      </c>
      <c r="R55" s="41">
        <f t="shared" si="17"/>
        <v>0</v>
      </c>
      <c r="S55" s="188">
        <f t="shared" si="18"/>
        <v>496.7139000000001</v>
      </c>
      <c r="T55" s="170">
        <v>0</v>
      </c>
      <c r="U55" s="40">
        <f t="shared" si="19"/>
        <v>0</v>
      </c>
      <c r="V55" s="40">
        <f t="shared" si="20"/>
        <v>0</v>
      </c>
      <c r="W55" s="40">
        <f t="shared" si="21"/>
        <v>0</v>
      </c>
      <c r="X55" s="40">
        <f t="shared" si="24"/>
        <v>0</v>
      </c>
      <c r="Y55" s="40">
        <v>53.12</v>
      </c>
      <c r="Z55" s="40">
        <f t="shared" si="11"/>
        <v>98.272</v>
      </c>
      <c r="AA55" s="40">
        <f t="shared" si="25"/>
        <v>398.4419000000001</v>
      </c>
      <c r="AB55" s="43"/>
      <c r="AC55" s="43"/>
      <c r="AD55" s="43"/>
      <c r="AE55" s="43"/>
      <c r="AF55" s="43"/>
      <c r="AG55" s="43"/>
      <c r="AH55" s="43"/>
      <c r="AI55" s="43"/>
    </row>
    <row r="56" spans="1:35" s="16" customFormat="1" ht="15" customHeight="1">
      <c r="A56" s="70"/>
      <c r="B56" s="35" t="s">
        <v>164</v>
      </c>
      <c r="C56" s="199" t="s">
        <v>24</v>
      </c>
      <c r="D56" s="229">
        <f>+D54*0.3</f>
        <v>398.41499999999996</v>
      </c>
      <c r="E56" s="251"/>
      <c r="F56" s="35" t="s">
        <v>164</v>
      </c>
      <c r="G56" s="199" t="s">
        <v>24</v>
      </c>
      <c r="H56" s="372">
        <f>D56/D54*H54</f>
        <v>402.741</v>
      </c>
      <c r="I56" s="218"/>
      <c r="J56" s="34"/>
      <c r="K56" s="34"/>
      <c r="L56" s="34">
        <v>2.85</v>
      </c>
      <c r="M56" s="34"/>
      <c r="N56" s="74">
        <f t="shared" si="23"/>
        <v>2.85</v>
      </c>
      <c r="O56" s="187">
        <f t="shared" si="14"/>
        <v>0</v>
      </c>
      <c r="P56" s="41">
        <f t="shared" si="15"/>
        <v>0</v>
      </c>
      <c r="Q56" s="41">
        <f t="shared" si="16"/>
        <v>1147.81185</v>
      </c>
      <c r="R56" s="41">
        <f t="shared" si="17"/>
        <v>0</v>
      </c>
      <c r="S56" s="188">
        <f t="shared" si="18"/>
        <v>1147.81185</v>
      </c>
      <c r="T56" s="170">
        <v>0</v>
      </c>
      <c r="U56" s="40">
        <f t="shared" si="19"/>
        <v>0</v>
      </c>
      <c r="V56" s="40">
        <f t="shared" si="20"/>
        <v>0</v>
      </c>
      <c r="W56" s="40">
        <f t="shared" si="21"/>
        <v>0</v>
      </c>
      <c r="X56" s="40">
        <f t="shared" si="24"/>
        <v>0</v>
      </c>
      <c r="Y56" s="40">
        <v>79.68</v>
      </c>
      <c r="Z56" s="40">
        <f t="shared" si="11"/>
        <v>227.08800000000002</v>
      </c>
      <c r="AA56" s="40">
        <f t="shared" si="25"/>
        <v>920.7238500000001</v>
      </c>
      <c r="AB56" s="43"/>
      <c r="AC56" s="43"/>
      <c r="AD56" s="43"/>
      <c r="AE56" s="43"/>
      <c r="AF56" s="43"/>
      <c r="AG56" s="43"/>
      <c r="AH56" s="43"/>
      <c r="AI56" s="43"/>
    </row>
    <row r="57" spans="1:35" s="16" customFormat="1" ht="15" customHeight="1">
      <c r="A57" s="70" t="s">
        <v>50</v>
      </c>
      <c r="B57" s="37" t="s">
        <v>26</v>
      </c>
      <c r="C57" s="199" t="s">
        <v>3</v>
      </c>
      <c r="D57" s="229">
        <v>150</v>
      </c>
      <c r="E57" s="255" t="s">
        <v>421</v>
      </c>
      <c r="F57" s="37" t="s">
        <v>26</v>
      </c>
      <c r="G57" s="199" t="s">
        <v>3</v>
      </c>
      <c r="H57" s="372">
        <v>82</v>
      </c>
      <c r="I57" s="218">
        <f>K57/J57</f>
        <v>1.3636363636363635</v>
      </c>
      <c r="J57" s="41">
        <v>2.2</v>
      </c>
      <c r="K57" s="34">
        <v>3</v>
      </c>
      <c r="L57" s="41"/>
      <c r="M57" s="41">
        <v>0.05</v>
      </c>
      <c r="N57" s="74">
        <f t="shared" si="23"/>
        <v>3.05</v>
      </c>
      <c r="O57" s="187">
        <f t="shared" si="14"/>
        <v>111.81818181818181</v>
      </c>
      <c r="P57" s="41">
        <f t="shared" si="15"/>
        <v>246</v>
      </c>
      <c r="Q57" s="41">
        <f t="shared" si="16"/>
        <v>0</v>
      </c>
      <c r="R57" s="41">
        <f t="shared" si="17"/>
        <v>4.1</v>
      </c>
      <c r="S57" s="188">
        <f t="shared" si="18"/>
        <v>250.1</v>
      </c>
      <c r="T57" s="170"/>
      <c r="U57" s="40">
        <f t="shared" si="19"/>
        <v>0</v>
      </c>
      <c r="V57" s="40">
        <f t="shared" si="20"/>
        <v>0</v>
      </c>
      <c r="W57" s="40">
        <f t="shared" si="21"/>
        <v>0</v>
      </c>
      <c r="X57" s="40">
        <f t="shared" si="24"/>
        <v>0</v>
      </c>
      <c r="Y57" s="40"/>
      <c r="Z57" s="40">
        <f t="shared" si="11"/>
        <v>0</v>
      </c>
      <c r="AA57" s="40">
        <f t="shared" si="25"/>
        <v>250.1</v>
      </c>
      <c r="AB57" s="43"/>
      <c r="AC57" s="43"/>
      <c r="AD57" s="43"/>
      <c r="AE57" s="43"/>
      <c r="AF57" s="43"/>
      <c r="AG57" s="43"/>
      <c r="AH57" s="43"/>
      <c r="AI57" s="43"/>
    </row>
    <row r="58" spans="1:35" s="16" customFormat="1" ht="15" customHeight="1">
      <c r="A58" s="70"/>
      <c r="B58" s="35" t="s">
        <v>27</v>
      </c>
      <c r="C58" s="199" t="s">
        <v>3</v>
      </c>
      <c r="D58" s="229">
        <f>+D57*1.04</f>
        <v>156</v>
      </c>
      <c r="E58" s="251"/>
      <c r="F58" s="35" t="s">
        <v>27</v>
      </c>
      <c r="G58" s="199" t="s">
        <v>3</v>
      </c>
      <c r="H58" s="372">
        <f>+H57*1.04</f>
        <v>85.28</v>
      </c>
      <c r="I58" s="216"/>
      <c r="J58" s="41"/>
      <c r="K58" s="34"/>
      <c r="L58" s="41">
        <v>2.85</v>
      </c>
      <c r="M58" s="41"/>
      <c r="N58" s="74">
        <f t="shared" si="23"/>
        <v>2.85</v>
      </c>
      <c r="O58" s="187">
        <f t="shared" si="14"/>
        <v>0</v>
      </c>
      <c r="P58" s="41">
        <f t="shared" si="15"/>
        <v>0</v>
      </c>
      <c r="Q58" s="41">
        <f t="shared" si="16"/>
        <v>243.048</v>
      </c>
      <c r="R58" s="41">
        <f t="shared" si="17"/>
        <v>0</v>
      </c>
      <c r="S58" s="188">
        <f t="shared" si="18"/>
        <v>243.048</v>
      </c>
      <c r="T58" s="170"/>
      <c r="U58" s="40">
        <f t="shared" si="19"/>
        <v>0</v>
      </c>
      <c r="V58" s="40">
        <f t="shared" si="20"/>
        <v>0</v>
      </c>
      <c r="W58" s="40">
        <f t="shared" si="21"/>
        <v>0</v>
      </c>
      <c r="X58" s="40">
        <f t="shared" si="24"/>
        <v>0</v>
      </c>
      <c r="Y58" s="40"/>
      <c r="Z58" s="40">
        <f t="shared" si="11"/>
        <v>0</v>
      </c>
      <c r="AA58" s="40">
        <f t="shared" si="25"/>
        <v>243.048</v>
      </c>
      <c r="AB58" s="43"/>
      <c r="AC58" s="43"/>
      <c r="AD58" s="43"/>
      <c r="AE58" s="43"/>
      <c r="AF58" s="43"/>
      <c r="AG58" s="43"/>
      <c r="AH58" s="43"/>
      <c r="AI58" s="43"/>
    </row>
    <row r="59" spans="1:35" s="16" customFormat="1" ht="15" customHeight="1">
      <c r="A59" s="70"/>
      <c r="B59" s="38" t="s">
        <v>120</v>
      </c>
      <c r="C59" s="199" t="s">
        <v>8</v>
      </c>
      <c r="D59" s="229">
        <f>+D57*3</f>
        <v>450</v>
      </c>
      <c r="E59" s="251"/>
      <c r="F59" s="38" t="s">
        <v>120</v>
      </c>
      <c r="G59" s="199" t="s">
        <v>8</v>
      </c>
      <c r="H59" s="372">
        <f>+H57*3</f>
        <v>246</v>
      </c>
      <c r="I59" s="216"/>
      <c r="J59" s="41"/>
      <c r="K59" s="41"/>
      <c r="L59" s="41">
        <v>0.01</v>
      </c>
      <c r="M59" s="41"/>
      <c r="N59" s="74">
        <f t="shared" si="23"/>
        <v>0.01</v>
      </c>
      <c r="O59" s="187">
        <f t="shared" si="14"/>
        <v>0</v>
      </c>
      <c r="P59" s="41">
        <f t="shared" si="15"/>
        <v>0</v>
      </c>
      <c r="Q59" s="41">
        <f t="shared" si="16"/>
        <v>2.46</v>
      </c>
      <c r="R59" s="41">
        <f t="shared" si="17"/>
        <v>0</v>
      </c>
      <c r="S59" s="188">
        <f t="shared" si="18"/>
        <v>2.46</v>
      </c>
      <c r="T59" s="170"/>
      <c r="U59" s="40">
        <f t="shared" si="19"/>
        <v>0</v>
      </c>
      <c r="V59" s="40">
        <f t="shared" si="20"/>
        <v>0</v>
      </c>
      <c r="W59" s="40">
        <f t="shared" si="21"/>
        <v>0</v>
      </c>
      <c r="X59" s="40">
        <f t="shared" si="24"/>
        <v>0</v>
      </c>
      <c r="Y59" s="40"/>
      <c r="Z59" s="40">
        <f t="shared" si="11"/>
        <v>0</v>
      </c>
      <c r="AA59" s="40">
        <f t="shared" si="25"/>
        <v>2.46</v>
      </c>
      <c r="AB59" s="43"/>
      <c r="AC59" s="43"/>
      <c r="AD59" s="43"/>
      <c r="AE59" s="43"/>
      <c r="AF59" s="43"/>
      <c r="AG59" s="43"/>
      <c r="AH59" s="43"/>
      <c r="AI59" s="43"/>
    </row>
    <row r="60" spans="1:35" s="16" customFormat="1" ht="15" customHeight="1">
      <c r="A60" s="70" t="s">
        <v>51</v>
      </c>
      <c r="B60" s="42" t="s">
        <v>28</v>
      </c>
      <c r="C60" s="199" t="s">
        <v>3</v>
      </c>
      <c r="D60" s="229">
        <f>624+43</f>
        <v>667</v>
      </c>
      <c r="E60" s="256" t="s">
        <v>386</v>
      </c>
      <c r="F60" s="42" t="s">
        <v>28</v>
      </c>
      <c r="G60" s="199" t="s">
        <v>3</v>
      </c>
      <c r="H60" s="229">
        <v>667</v>
      </c>
      <c r="I60" s="218">
        <f>K60/J60</f>
        <v>1.1363636363636362</v>
      </c>
      <c r="J60" s="41">
        <v>2.2</v>
      </c>
      <c r="K60" s="34">
        <v>2.5</v>
      </c>
      <c r="L60" s="41">
        <v>0.3</v>
      </c>
      <c r="M60" s="41">
        <v>0.35</v>
      </c>
      <c r="N60" s="74">
        <f t="shared" si="23"/>
        <v>3.15</v>
      </c>
      <c r="O60" s="187">
        <f t="shared" si="14"/>
        <v>757.9545454545454</v>
      </c>
      <c r="P60" s="41">
        <f t="shared" si="15"/>
        <v>1667.5</v>
      </c>
      <c r="Q60" s="41">
        <f t="shared" si="16"/>
        <v>200.1</v>
      </c>
      <c r="R60" s="41">
        <f t="shared" si="17"/>
        <v>233.45</v>
      </c>
      <c r="S60" s="188">
        <f t="shared" si="18"/>
        <v>2101.05</v>
      </c>
      <c r="T60" s="170">
        <v>0</v>
      </c>
      <c r="U60" s="40">
        <f t="shared" si="19"/>
        <v>0</v>
      </c>
      <c r="V60" s="40">
        <f t="shared" si="20"/>
        <v>0</v>
      </c>
      <c r="W60" s="40">
        <f t="shared" si="21"/>
        <v>0</v>
      </c>
      <c r="X60" s="40">
        <f t="shared" si="24"/>
        <v>0</v>
      </c>
      <c r="Y60" s="40">
        <v>654.11</v>
      </c>
      <c r="Z60" s="40">
        <f t="shared" si="11"/>
        <v>2060.4465</v>
      </c>
      <c r="AA60" s="40">
        <f t="shared" si="25"/>
        <v>40.60350000000017</v>
      </c>
      <c r="AB60" s="43"/>
      <c r="AC60" s="43"/>
      <c r="AD60" s="43"/>
      <c r="AE60" s="43"/>
      <c r="AF60" s="43"/>
      <c r="AG60" s="43"/>
      <c r="AH60" s="43"/>
      <c r="AI60" s="43"/>
    </row>
    <row r="61" spans="1:35" s="16" customFormat="1" ht="15" customHeight="1">
      <c r="A61" s="70"/>
      <c r="B61" s="35" t="s">
        <v>29</v>
      </c>
      <c r="C61" s="199" t="s">
        <v>4</v>
      </c>
      <c r="D61" s="229">
        <f>+D60*0.05*1.05</f>
        <v>35.017500000000005</v>
      </c>
      <c r="E61" s="251"/>
      <c r="F61" s="406" t="s">
        <v>366</v>
      </c>
      <c r="G61" s="199" t="s">
        <v>4</v>
      </c>
      <c r="H61" s="229">
        <v>35.02</v>
      </c>
      <c r="I61" s="216"/>
      <c r="J61" s="41"/>
      <c r="K61" s="34"/>
      <c r="L61" s="41">
        <v>2.1</v>
      </c>
      <c r="M61" s="41"/>
      <c r="N61" s="74">
        <f t="shared" si="23"/>
        <v>2.1</v>
      </c>
      <c r="O61" s="187">
        <f t="shared" si="14"/>
        <v>0</v>
      </c>
      <c r="P61" s="41">
        <f t="shared" si="15"/>
        <v>0</v>
      </c>
      <c r="Q61" s="41">
        <f t="shared" si="16"/>
        <v>73.54200000000002</v>
      </c>
      <c r="R61" s="41">
        <f t="shared" si="17"/>
        <v>0</v>
      </c>
      <c r="S61" s="188">
        <f t="shared" si="18"/>
        <v>73.54200000000002</v>
      </c>
      <c r="T61" s="174">
        <v>0</v>
      </c>
      <c r="U61" s="40">
        <f t="shared" si="19"/>
        <v>0</v>
      </c>
      <c r="V61" s="40">
        <f t="shared" si="20"/>
        <v>0</v>
      </c>
      <c r="W61" s="40">
        <f t="shared" si="21"/>
        <v>0</v>
      </c>
      <c r="X61" s="40">
        <f t="shared" si="24"/>
        <v>0</v>
      </c>
      <c r="Y61" s="71">
        <f>15+20.02</f>
        <v>35.019999999999996</v>
      </c>
      <c r="Z61" s="40">
        <f t="shared" si="11"/>
        <v>73.542</v>
      </c>
      <c r="AA61" s="40">
        <f>S61-X61-Z61+0.01</f>
        <v>0.010000000000014211</v>
      </c>
      <c r="AB61" s="43"/>
      <c r="AC61" s="43"/>
      <c r="AD61" s="43"/>
      <c r="AE61" s="43"/>
      <c r="AF61" s="43"/>
      <c r="AG61" s="43"/>
      <c r="AH61" s="43"/>
      <c r="AI61" s="43"/>
    </row>
    <row r="62" spans="1:35" s="16" customFormat="1" ht="15" customHeight="1">
      <c r="A62" s="70"/>
      <c r="B62" s="35" t="s">
        <v>165</v>
      </c>
      <c r="C62" s="199" t="s">
        <v>4</v>
      </c>
      <c r="D62" s="229">
        <f>+D60*0.2*1.1</f>
        <v>146.74</v>
      </c>
      <c r="E62" s="251"/>
      <c r="F62" s="406" t="s">
        <v>367</v>
      </c>
      <c r="G62" s="199" t="s">
        <v>4</v>
      </c>
      <c r="H62" s="229">
        <v>146.74</v>
      </c>
      <c r="I62" s="216"/>
      <c r="J62" s="41"/>
      <c r="K62" s="41"/>
      <c r="L62" s="41">
        <v>6.1</v>
      </c>
      <c r="M62" s="41"/>
      <c r="N62" s="74">
        <f t="shared" si="23"/>
        <v>6.1</v>
      </c>
      <c r="O62" s="187">
        <f t="shared" si="14"/>
        <v>0</v>
      </c>
      <c r="P62" s="41">
        <f t="shared" si="15"/>
        <v>0</v>
      </c>
      <c r="Q62" s="41">
        <f t="shared" si="16"/>
        <v>895.114</v>
      </c>
      <c r="R62" s="41">
        <f t="shared" si="17"/>
        <v>0</v>
      </c>
      <c r="S62" s="188">
        <f t="shared" si="18"/>
        <v>895.114</v>
      </c>
      <c r="T62" s="174">
        <v>0</v>
      </c>
      <c r="U62" s="40">
        <f t="shared" si="19"/>
        <v>0</v>
      </c>
      <c r="V62" s="40">
        <f t="shared" si="20"/>
        <v>0</v>
      </c>
      <c r="W62" s="40">
        <f t="shared" si="21"/>
        <v>0</v>
      </c>
      <c r="X62" s="40">
        <f t="shared" si="24"/>
        <v>0</v>
      </c>
      <c r="Y62" s="71">
        <v>146.74</v>
      </c>
      <c r="Z62" s="40">
        <f t="shared" si="11"/>
        <v>895.114</v>
      </c>
      <c r="AA62" s="40">
        <f aca="true" t="shared" si="26" ref="AA62:AA97">S62-X62-Z62</f>
        <v>0</v>
      </c>
      <c r="AB62" s="43"/>
      <c r="AC62" s="43"/>
      <c r="AD62" s="43"/>
      <c r="AE62" s="43"/>
      <c r="AF62" s="43"/>
      <c r="AG62" s="43"/>
      <c r="AH62" s="43"/>
      <c r="AI62" s="43"/>
    </row>
    <row r="63" spans="1:35" s="16" customFormat="1" ht="15" customHeight="1">
      <c r="A63" s="70"/>
      <c r="B63" s="35" t="s">
        <v>16</v>
      </c>
      <c r="C63" s="199" t="s">
        <v>17</v>
      </c>
      <c r="D63" s="229">
        <f>+ROUND((D61+D62)*4,2)</f>
        <v>727.03</v>
      </c>
      <c r="E63" s="251"/>
      <c r="F63" s="35" t="s">
        <v>16</v>
      </c>
      <c r="G63" s="199" t="s">
        <v>17</v>
      </c>
      <c r="H63" s="229">
        <f>+ROUND((H61+H62)*4,2)-0.01</f>
        <v>727.03</v>
      </c>
      <c r="I63" s="216"/>
      <c r="J63" s="41"/>
      <c r="K63" s="41"/>
      <c r="L63" s="41">
        <v>0.11</v>
      </c>
      <c r="M63" s="41"/>
      <c r="N63" s="74">
        <f t="shared" si="23"/>
        <v>0.11</v>
      </c>
      <c r="O63" s="187">
        <f t="shared" si="14"/>
        <v>0</v>
      </c>
      <c r="P63" s="41">
        <f t="shared" si="15"/>
        <v>0</v>
      </c>
      <c r="Q63" s="41">
        <f t="shared" si="16"/>
        <v>79.9733</v>
      </c>
      <c r="R63" s="41">
        <f t="shared" si="17"/>
        <v>0</v>
      </c>
      <c r="S63" s="188">
        <f t="shared" si="18"/>
        <v>79.9733</v>
      </c>
      <c r="T63" s="174">
        <v>0</v>
      </c>
      <c r="U63" s="40">
        <f t="shared" si="19"/>
        <v>0</v>
      </c>
      <c r="V63" s="40">
        <f t="shared" si="20"/>
        <v>0</v>
      </c>
      <c r="W63" s="40">
        <f t="shared" si="21"/>
        <v>0</v>
      </c>
      <c r="X63" s="40">
        <f t="shared" si="24"/>
        <v>0</v>
      </c>
      <c r="Y63" s="71">
        <f>270+457.03</f>
        <v>727.03</v>
      </c>
      <c r="Z63" s="40">
        <f t="shared" si="11"/>
        <v>79.9733</v>
      </c>
      <c r="AA63" s="40">
        <f t="shared" si="26"/>
        <v>0</v>
      </c>
      <c r="AB63" s="43"/>
      <c r="AC63" s="43"/>
      <c r="AD63" s="43"/>
      <c r="AE63" s="43"/>
      <c r="AF63" s="43"/>
      <c r="AG63" s="43"/>
      <c r="AH63" s="43"/>
      <c r="AI63" s="43"/>
    </row>
    <row r="64" spans="1:35" s="16" customFormat="1" ht="15" customHeight="1">
      <c r="A64" s="70"/>
      <c r="B64" s="35" t="s">
        <v>166</v>
      </c>
      <c r="C64" s="199" t="s">
        <v>24</v>
      </c>
      <c r="D64" s="229">
        <f>+D60*0.2</f>
        <v>133.4</v>
      </c>
      <c r="E64" s="251"/>
      <c r="F64" s="35" t="s">
        <v>166</v>
      </c>
      <c r="G64" s="199" t="s">
        <v>24</v>
      </c>
      <c r="H64" s="229">
        <f>+H60*0.2</f>
        <v>133.4</v>
      </c>
      <c r="I64" s="216"/>
      <c r="J64" s="41"/>
      <c r="K64" s="41"/>
      <c r="L64" s="41">
        <v>2.5</v>
      </c>
      <c r="M64" s="41"/>
      <c r="N64" s="74">
        <f t="shared" si="23"/>
        <v>2.5</v>
      </c>
      <c r="O64" s="187">
        <f t="shared" si="14"/>
        <v>0</v>
      </c>
      <c r="P64" s="41">
        <f t="shared" si="15"/>
        <v>0</v>
      </c>
      <c r="Q64" s="41">
        <f t="shared" si="16"/>
        <v>333.5</v>
      </c>
      <c r="R64" s="41">
        <f t="shared" si="17"/>
        <v>0</v>
      </c>
      <c r="S64" s="188">
        <f t="shared" si="18"/>
        <v>333.5</v>
      </c>
      <c r="T64" s="174">
        <v>0</v>
      </c>
      <c r="U64" s="40">
        <f t="shared" si="19"/>
        <v>0</v>
      </c>
      <c r="V64" s="40">
        <f t="shared" si="20"/>
        <v>0</v>
      </c>
      <c r="W64" s="40">
        <f t="shared" si="21"/>
        <v>0</v>
      </c>
      <c r="X64" s="40">
        <f t="shared" si="24"/>
        <v>0</v>
      </c>
      <c r="Y64" s="71">
        <v>36</v>
      </c>
      <c r="Z64" s="40">
        <f t="shared" si="11"/>
        <v>90</v>
      </c>
      <c r="AA64" s="40">
        <f t="shared" si="26"/>
        <v>243.5</v>
      </c>
      <c r="AB64" s="43"/>
      <c r="AC64" s="43"/>
      <c r="AD64" s="43"/>
      <c r="AE64" s="43"/>
      <c r="AF64" s="43"/>
      <c r="AG64" s="43"/>
      <c r="AH64" s="43"/>
      <c r="AI64" s="43"/>
    </row>
    <row r="65" spans="1:37" s="16" customFormat="1" ht="15" customHeight="1">
      <c r="A65" s="70"/>
      <c r="B65" s="35" t="s">
        <v>167</v>
      </c>
      <c r="C65" s="199" t="s">
        <v>17</v>
      </c>
      <c r="D65" s="229">
        <f>+D60*0.3</f>
        <v>200.1</v>
      </c>
      <c r="E65" s="251"/>
      <c r="F65" s="35" t="s">
        <v>167</v>
      </c>
      <c r="G65" s="199" t="s">
        <v>17</v>
      </c>
      <c r="H65" s="229">
        <f>+H60*0.3</f>
        <v>200.1</v>
      </c>
      <c r="I65" s="216"/>
      <c r="J65" s="41"/>
      <c r="K65" s="41"/>
      <c r="L65" s="41">
        <v>2.85</v>
      </c>
      <c r="M65" s="41"/>
      <c r="N65" s="74">
        <f t="shared" si="23"/>
        <v>2.85</v>
      </c>
      <c r="O65" s="187">
        <f t="shared" si="14"/>
        <v>0</v>
      </c>
      <c r="P65" s="41">
        <f t="shared" si="15"/>
        <v>0</v>
      </c>
      <c r="Q65" s="41">
        <f t="shared" si="16"/>
        <v>570.285</v>
      </c>
      <c r="R65" s="41">
        <f t="shared" si="17"/>
        <v>0</v>
      </c>
      <c r="S65" s="188">
        <f t="shared" si="18"/>
        <v>570.285</v>
      </c>
      <c r="T65" s="174">
        <v>0</v>
      </c>
      <c r="U65" s="40">
        <f t="shared" si="19"/>
        <v>0</v>
      </c>
      <c r="V65" s="40">
        <f t="shared" si="20"/>
        <v>0</v>
      </c>
      <c r="W65" s="40">
        <f t="shared" si="21"/>
        <v>0</v>
      </c>
      <c r="X65" s="40">
        <f t="shared" si="24"/>
        <v>0</v>
      </c>
      <c r="Y65" s="71">
        <v>54</v>
      </c>
      <c r="Z65" s="40">
        <f t="shared" si="11"/>
        <v>153.9</v>
      </c>
      <c r="AA65" s="40">
        <f t="shared" si="26"/>
        <v>416.385</v>
      </c>
      <c r="AB65" s="43"/>
      <c r="AC65" s="43"/>
      <c r="AD65" s="43"/>
      <c r="AE65" s="43"/>
      <c r="AF65" s="43"/>
      <c r="AG65" s="43"/>
      <c r="AH65" s="43"/>
      <c r="AI65" s="43"/>
      <c r="AK65" s="19"/>
    </row>
    <row r="66" spans="1:35" s="16" customFormat="1" ht="15" customHeight="1">
      <c r="A66" s="99" t="s">
        <v>52</v>
      </c>
      <c r="B66" s="79" t="s">
        <v>117</v>
      </c>
      <c r="C66" s="109" t="s">
        <v>3</v>
      </c>
      <c r="D66" s="230">
        <v>238</v>
      </c>
      <c r="E66" s="255" t="s">
        <v>422</v>
      </c>
      <c r="F66" s="79" t="s">
        <v>117</v>
      </c>
      <c r="G66" s="109" t="s">
        <v>3</v>
      </c>
      <c r="H66" s="230">
        <v>238</v>
      </c>
      <c r="I66" s="218">
        <f>K66/J66</f>
        <v>1.1363636363636362</v>
      </c>
      <c r="J66" s="41">
        <v>2.2</v>
      </c>
      <c r="K66" s="34">
        <v>2.5</v>
      </c>
      <c r="L66" s="34"/>
      <c r="M66" s="34">
        <v>0.15</v>
      </c>
      <c r="N66" s="74">
        <f>K66+L66+M66</f>
        <v>2.65</v>
      </c>
      <c r="O66" s="187">
        <f aca="true" t="shared" si="27" ref="O66:O98">H66*I66</f>
        <v>270.45454545454544</v>
      </c>
      <c r="P66" s="41">
        <f aca="true" t="shared" si="28" ref="P66:P98">ROUND(H66*K66,2)</f>
        <v>595</v>
      </c>
      <c r="Q66" s="41">
        <f aca="true" t="shared" si="29" ref="Q66:Q98">H66*L66</f>
        <v>0</v>
      </c>
      <c r="R66" s="41">
        <f aca="true" t="shared" si="30" ref="R66:R98">ROUND(H66*M66,2)</f>
        <v>35.7</v>
      </c>
      <c r="S66" s="188">
        <f aca="true" t="shared" si="31" ref="S66:S97">R66+Q66+P66</f>
        <v>630.7</v>
      </c>
      <c r="T66" s="170">
        <v>96</v>
      </c>
      <c r="U66" s="40">
        <f aca="true" t="shared" si="32" ref="U66:U97">T66*K66</f>
        <v>240</v>
      </c>
      <c r="V66" s="40">
        <f aca="true" t="shared" si="33" ref="V66:V98">T66*L66</f>
        <v>0</v>
      </c>
      <c r="W66" s="40">
        <f aca="true" t="shared" si="34" ref="W66:W98">T66*M66</f>
        <v>14.399999999999999</v>
      </c>
      <c r="X66" s="40">
        <f t="shared" si="24"/>
        <v>254.4</v>
      </c>
      <c r="Y66" s="40">
        <v>35</v>
      </c>
      <c r="Z66" s="40">
        <f t="shared" si="11"/>
        <v>92.75</v>
      </c>
      <c r="AA66" s="40">
        <f t="shared" si="26"/>
        <v>283.55000000000007</v>
      </c>
      <c r="AB66" s="43"/>
      <c r="AC66" s="43"/>
      <c r="AD66" s="43"/>
      <c r="AE66" s="43"/>
      <c r="AF66" s="43"/>
      <c r="AG66" s="43"/>
      <c r="AH66" s="43"/>
      <c r="AI66" s="43"/>
    </row>
    <row r="67" spans="1:35" s="16" customFormat="1" ht="25.5" customHeight="1">
      <c r="A67" s="99"/>
      <c r="B67" s="39" t="s">
        <v>168</v>
      </c>
      <c r="C67" s="109" t="s">
        <v>3</v>
      </c>
      <c r="D67" s="230">
        <f>+D66*1.05</f>
        <v>249.9</v>
      </c>
      <c r="E67" s="221"/>
      <c r="F67" s="39" t="s">
        <v>168</v>
      </c>
      <c r="G67" s="109" t="s">
        <v>3</v>
      </c>
      <c r="H67" s="230">
        <f>+H66*1.05</f>
        <v>249.9</v>
      </c>
      <c r="I67" s="216"/>
      <c r="J67" s="41"/>
      <c r="K67" s="41"/>
      <c r="L67" s="41">
        <v>2.5</v>
      </c>
      <c r="M67" s="41"/>
      <c r="N67" s="74">
        <f t="shared" si="23"/>
        <v>2.5</v>
      </c>
      <c r="O67" s="187">
        <f t="shared" si="27"/>
        <v>0</v>
      </c>
      <c r="P67" s="41">
        <f t="shared" si="28"/>
        <v>0</v>
      </c>
      <c r="Q67" s="41">
        <f t="shared" si="29"/>
        <v>624.75</v>
      </c>
      <c r="R67" s="41">
        <f t="shared" si="30"/>
        <v>0</v>
      </c>
      <c r="S67" s="188">
        <f t="shared" si="31"/>
        <v>624.75</v>
      </c>
      <c r="T67" s="170">
        <v>0</v>
      </c>
      <c r="U67" s="40">
        <f t="shared" si="32"/>
        <v>0</v>
      </c>
      <c r="V67" s="40">
        <f t="shared" si="33"/>
        <v>0</v>
      </c>
      <c r="W67" s="40">
        <f t="shared" si="34"/>
        <v>0</v>
      </c>
      <c r="X67" s="40">
        <f t="shared" si="24"/>
        <v>0</v>
      </c>
      <c r="Y67" s="40">
        <v>249.9</v>
      </c>
      <c r="Z67" s="40">
        <f t="shared" si="11"/>
        <v>624.75</v>
      </c>
      <c r="AA67" s="40">
        <f t="shared" si="26"/>
        <v>0</v>
      </c>
      <c r="AB67" s="43"/>
      <c r="AC67" s="43"/>
      <c r="AD67" s="43"/>
      <c r="AE67" s="43"/>
      <c r="AF67" s="43"/>
      <c r="AG67" s="43"/>
      <c r="AH67" s="43"/>
      <c r="AI67" s="43"/>
    </row>
    <row r="68" spans="1:35" s="16" customFormat="1" ht="15" customHeight="1">
      <c r="A68" s="99"/>
      <c r="B68" s="39" t="s">
        <v>169</v>
      </c>
      <c r="C68" s="109" t="s">
        <v>4</v>
      </c>
      <c r="D68" s="230">
        <f>+D66*0.2*1.1</f>
        <v>52.36000000000001</v>
      </c>
      <c r="E68" s="221"/>
      <c r="F68" s="39" t="s">
        <v>169</v>
      </c>
      <c r="G68" s="109" t="s">
        <v>4</v>
      </c>
      <c r="H68" s="230">
        <f>+H66*0.2*1.1</f>
        <v>52.36000000000001</v>
      </c>
      <c r="I68" s="216"/>
      <c r="J68" s="41"/>
      <c r="K68" s="41"/>
      <c r="L68" s="41">
        <v>2.5</v>
      </c>
      <c r="M68" s="41"/>
      <c r="N68" s="74">
        <f t="shared" si="23"/>
        <v>2.5</v>
      </c>
      <c r="O68" s="187">
        <f t="shared" si="27"/>
        <v>0</v>
      </c>
      <c r="P68" s="41">
        <f t="shared" si="28"/>
        <v>0</v>
      </c>
      <c r="Q68" s="41">
        <f t="shared" si="29"/>
        <v>130.9</v>
      </c>
      <c r="R68" s="41">
        <f t="shared" si="30"/>
        <v>0</v>
      </c>
      <c r="S68" s="188">
        <f t="shared" si="31"/>
        <v>130.9</v>
      </c>
      <c r="T68" s="170">
        <v>12.75</v>
      </c>
      <c r="U68" s="40">
        <f t="shared" si="32"/>
        <v>0</v>
      </c>
      <c r="V68" s="40">
        <f t="shared" si="33"/>
        <v>31.875</v>
      </c>
      <c r="W68" s="40">
        <f t="shared" si="34"/>
        <v>0</v>
      </c>
      <c r="X68" s="40">
        <f t="shared" si="24"/>
        <v>31.875</v>
      </c>
      <c r="Y68" s="40">
        <v>16</v>
      </c>
      <c r="Z68" s="40">
        <f t="shared" si="11"/>
        <v>40</v>
      </c>
      <c r="AA68" s="40">
        <f t="shared" si="26"/>
        <v>59.025000000000006</v>
      </c>
      <c r="AB68" s="43"/>
      <c r="AC68" s="43"/>
      <c r="AD68" s="43"/>
      <c r="AE68" s="43"/>
      <c r="AF68" s="43"/>
      <c r="AG68" s="43"/>
      <c r="AH68" s="43"/>
      <c r="AI68" s="43"/>
    </row>
    <row r="69" spans="1:35" s="16" customFormat="1" ht="14.25" customHeight="1">
      <c r="A69" s="99"/>
      <c r="B69" s="39" t="s">
        <v>119</v>
      </c>
      <c r="C69" s="109" t="s">
        <v>118</v>
      </c>
      <c r="D69" s="230">
        <f>+D66*0.1</f>
        <v>23.8</v>
      </c>
      <c r="E69" s="221"/>
      <c r="F69" s="39" t="s">
        <v>119</v>
      </c>
      <c r="G69" s="109" t="s">
        <v>118</v>
      </c>
      <c r="H69" s="230">
        <f>+H66*0.1</f>
        <v>23.8</v>
      </c>
      <c r="I69" s="216"/>
      <c r="J69" s="41"/>
      <c r="K69" s="41"/>
      <c r="L69" s="41">
        <v>1.91</v>
      </c>
      <c r="M69" s="41"/>
      <c r="N69" s="74">
        <f t="shared" si="23"/>
        <v>1.91</v>
      </c>
      <c r="O69" s="187">
        <f t="shared" si="27"/>
        <v>0</v>
      </c>
      <c r="P69" s="41">
        <f t="shared" si="28"/>
        <v>0</v>
      </c>
      <c r="Q69" s="41">
        <f t="shared" si="29"/>
        <v>45.458</v>
      </c>
      <c r="R69" s="41">
        <f t="shared" si="30"/>
        <v>0</v>
      </c>
      <c r="S69" s="188">
        <f t="shared" si="31"/>
        <v>45.458</v>
      </c>
      <c r="T69" s="170">
        <v>6.6</v>
      </c>
      <c r="U69" s="40">
        <f t="shared" si="32"/>
        <v>0</v>
      </c>
      <c r="V69" s="40">
        <f t="shared" si="33"/>
        <v>12.605999999999998</v>
      </c>
      <c r="W69" s="40">
        <f t="shared" si="34"/>
        <v>0</v>
      </c>
      <c r="X69" s="40">
        <f t="shared" si="24"/>
        <v>12.605999999999998</v>
      </c>
      <c r="Y69" s="40">
        <v>7</v>
      </c>
      <c r="Z69" s="40">
        <f t="shared" si="11"/>
        <v>13.37</v>
      </c>
      <c r="AA69" s="40">
        <f t="shared" si="26"/>
        <v>19.482000000000006</v>
      </c>
      <c r="AB69" s="43"/>
      <c r="AC69" s="43"/>
      <c r="AD69" s="43"/>
      <c r="AE69" s="43"/>
      <c r="AF69" s="43"/>
      <c r="AG69" s="43"/>
      <c r="AH69" s="43"/>
      <c r="AI69" s="43"/>
    </row>
    <row r="70" spans="1:35" s="16" customFormat="1" ht="15" customHeight="1">
      <c r="A70" s="99"/>
      <c r="B70" s="39" t="s">
        <v>120</v>
      </c>
      <c r="C70" s="109" t="s">
        <v>8</v>
      </c>
      <c r="D70" s="230">
        <f>+D66*3</f>
        <v>714</v>
      </c>
      <c r="E70" s="221"/>
      <c r="F70" s="39" t="s">
        <v>120</v>
      </c>
      <c r="G70" s="109" t="s">
        <v>8</v>
      </c>
      <c r="H70" s="230">
        <f>+H66*3</f>
        <v>714</v>
      </c>
      <c r="I70" s="216"/>
      <c r="J70" s="41"/>
      <c r="K70" s="41"/>
      <c r="L70" s="41">
        <v>0.02</v>
      </c>
      <c r="M70" s="41"/>
      <c r="N70" s="74">
        <f t="shared" si="23"/>
        <v>0.02</v>
      </c>
      <c r="O70" s="187">
        <f t="shared" si="27"/>
        <v>0</v>
      </c>
      <c r="P70" s="41">
        <f t="shared" si="28"/>
        <v>0</v>
      </c>
      <c r="Q70" s="41">
        <f t="shared" si="29"/>
        <v>14.280000000000001</v>
      </c>
      <c r="R70" s="41">
        <f t="shared" si="30"/>
        <v>0</v>
      </c>
      <c r="S70" s="188">
        <f t="shared" si="31"/>
        <v>14.280000000000001</v>
      </c>
      <c r="T70" s="170">
        <v>172.3</v>
      </c>
      <c r="U70" s="40">
        <f t="shared" si="32"/>
        <v>0</v>
      </c>
      <c r="V70" s="40">
        <f t="shared" si="33"/>
        <v>3.446</v>
      </c>
      <c r="W70" s="40">
        <f t="shared" si="34"/>
        <v>0</v>
      </c>
      <c r="X70" s="40">
        <f t="shared" si="24"/>
        <v>3.446</v>
      </c>
      <c r="Y70" s="40">
        <v>220</v>
      </c>
      <c r="Z70" s="40">
        <f t="shared" si="11"/>
        <v>4.4</v>
      </c>
      <c r="AA70" s="40">
        <f t="shared" si="26"/>
        <v>6.434000000000001</v>
      </c>
      <c r="AB70" s="43"/>
      <c r="AC70" s="43"/>
      <c r="AD70" s="43"/>
      <c r="AE70" s="43"/>
      <c r="AF70" s="43"/>
      <c r="AG70" s="43"/>
      <c r="AH70" s="43"/>
      <c r="AI70" s="43"/>
    </row>
    <row r="71" spans="1:35" s="16" customFormat="1" ht="15" customHeight="1">
      <c r="A71" s="99"/>
      <c r="B71" s="39" t="s">
        <v>300</v>
      </c>
      <c r="C71" s="109" t="s">
        <v>4</v>
      </c>
      <c r="D71" s="230">
        <f>+D66*0.22</f>
        <v>52.36</v>
      </c>
      <c r="E71" s="221"/>
      <c r="F71" s="406" t="s">
        <v>368</v>
      </c>
      <c r="G71" s="109" t="s">
        <v>4</v>
      </c>
      <c r="H71" s="230">
        <f>+H66*0.22</f>
        <v>52.36</v>
      </c>
      <c r="I71" s="216"/>
      <c r="J71" s="41"/>
      <c r="K71" s="41"/>
      <c r="L71" s="41">
        <v>2.3</v>
      </c>
      <c r="M71" s="41"/>
      <c r="N71" s="74">
        <f t="shared" si="23"/>
        <v>2.3</v>
      </c>
      <c r="O71" s="187">
        <f t="shared" si="27"/>
        <v>0</v>
      </c>
      <c r="P71" s="41">
        <f t="shared" si="28"/>
        <v>0</v>
      </c>
      <c r="Q71" s="41">
        <f t="shared" si="29"/>
        <v>120.42799999999998</v>
      </c>
      <c r="R71" s="41">
        <f t="shared" si="30"/>
        <v>0</v>
      </c>
      <c r="S71" s="188">
        <f t="shared" si="31"/>
        <v>120.42799999999998</v>
      </c>
      <c r="T71" s="170">
        <v>0</v>
      </c>
      <c r="U71" s="40">
        <f t="shared" si="32"/>
        <v>0</v>
      </c>
      <c r="V71" s="40">
        <f t="shared" si="33"/>
        <v>0</v>
      </c>
      <c r="W71" s="40">
        <f t="shared" si="34"/>
        <v>0</v>
      </c>
      <c r="X71" s="40">
        <f t="shared" si="24"/>
        <v>0</v>
      </c>
      <c r="Y71" s="40">
        <v>52.36</v>
      </c>
      <c r="Z71" s="40">
        <f t="shared" si="11"/>
        <v>120.42799999999998</v>
      </c>
      <c r="AA71" s="40">
        <f t="shared" si="26"/>
        <v>0</v>
      </c>
      <c r="AB71" s="43"/>
      <c r="AC71" s="43"/>
      <c r="AD71" s="43"/>
      <c r="AE71" s="43"/>
      <c r="AF71" s="43"/>
      <c r="AG71" s="43"/>
      <c r="AH71" s="43"/>
      <c r="AI71" s="43"/>
    </row>
    <row r="72" spans="1:35" s="16" customFormat="1" ht="15" customHeight="1">
      <c r="A72" s="99"/>
      <c r="B72" s="39" t="s">
        <v>170</v>
      </c>
      <c r="C72" s="109" t="s">
        <v>3</v>
      </c>
      <c r="D72" s="230">
        <f>+D66*1.1</f>
        <v>261.8</v>
      </c>
      <c r="E72" s="221"/>
      <c r="F72" s="39" t="s">
        <v>170</v>
      </c>
      <c r="G72" s="109" t="s">
        <v>3</v>
      </c>
      <c r="H72" s="230">
        <f>+H66*1.1</f>
        <v>261.8</v>
      </c>
      <c r="I72" s="216"/>
      <c r="J72" s="41"/>
      <c r="K72" s="41"/>
      <c r="L72" s="41">
        <v>0.8</v>
      </c>
      <c r="M72" s="41"/>
      <c r="N72" s="74">
        <f t="shared" si="23"/>
        <v>0.8</v>
      </c>
      <c r="O72" s="187">
        <f t="shared" si="27"/>
        <v>0</v>
      </c>
      <c r="P72" s="41">
        <f t="shared" si="28"/>
        <v>0</v>
      </c>
      <c r="Q72" s="41">
        <f t="shared" si="29"/>
        <v>209.44000000000003</v>
      </c>
      <c r="R72" s="41">
        <f t="shared" si="30"/>
        <v>0</v>
      </c>
      <c r="S72" s="188">
        <f t="shared" si="31"/>
        <v>209.44000000000003</v>
      </c>
      <c r="T72" s="170">
        <v>129.7</v>
      </c>
      <c r="U72" s="40">
        <f t="shared" si="32"/>
        <v>0</v>
      </c>
      <c r="V72" s="40">
        <f t="shared" si="33"/>
        <v>103.75999999999999</v>
      </c>
      <c r="W72" s="40">
        <f t="shared" si="34"/>
        <v>0</v>
      </c>
      <c r="X72" s="40">
        <f t="shared" si="24"/>
        <v>103.75999999999999</v>
      </c>
      <c r="Y72" s="40">
        <v>15</v>
      </c>
      <c r="Z72" s="40">
        <f t="shared" si="11"/>
        <v>12</v>
      </c>
      <c r="AA72" s="40">
        <f t="shared" si="26"/>
        <v>93.68000000000004</v>
      </c>
      <c r="AB72" s="43"/>
      <c r="AC72" s="43"/>
      <c r="AD72" s="43"/>
      <c r="AE72" s="43"/>
      <c r="AF72" s="43"/>
      <c r="AG72" s="43"/>
      <c r="AH72" s="43"/>
      <c r="AI72" s="43"/>
    </row>
    <row r="73" spans="1:35" s="16" customFormat="1" ht="29.25" customHeight="1">
      <c r="A73" s="70" t="s">
        <v>53</v>
      </c>
      <c r="B73" s="97" t="s">
        <v>171</v>
      </c>
      <c r="C73" s="199" t="s">
        <v>3</v>
      </c>
      <c r="D73" s="229">
        <v>48</v>
      </c>
      <c r="E73" s="251" t="s">
        <v>53</v>
      </c>
      <c r="F73" s="97" t="s">
        <v>171</v>
      </c>
      <c r="G73" s="199" t="s">
        <v>3</v>
      </c>
      <c r="H73" s="229">
        <v>0</v>
      </c>
      <c r="I73" s="218">
        <f>K73/J73</f>
        <v>1.1363636363636362</v>
      </c>
      <c r="J73" s="41">
        <v>2.2</v>
      </c>
      <c r="K73" s="34">
        <v>2.5</v>
      </c>
      <c r="L73" s="34"/>
      <c r="M73" s="34">
        <v>0.15</v>
      </c>
      <c r="N73" s="74">
        <f t="shared" si="23"/>
        <v>2.65</v>
      </c>
      <c r="O73" s="187">
        <f t="shared" si="27"/>
        <v>0</v>
      </c>
      <c r="P73" s="41">
        <f t="shared" si="28"/>
        <v>0</v>
      </c>
      <c r="Q73" s="41">
        <f t="shared" si="29"/>
        <v>0</v>
      </c>
      <c r="R73" s="41">
        <f t="shared" si="30"/>
        <v>0</v>
      </c>
      <c r="S73" s="188">
        <f t="shared" si="31"/>
        <v>0</v>
      </c>
      <c r="T73" s="170"/>
      <c r="U73" s="40">
        <f t="shared" si="32"/>
        <v>0</v>
      </c>
      <c r="V73" s="40">
        <f t="shared" si="33"/>
        <v>0</v>
      </c>
      <c r="W73" s="40">
        <f t="shared" si="34"/>
        <v>0</v>
      </c>
      <c r="X73" s="40">
        <f t="shared" si="24"/>
        <v>0</v>
      </c>
      <c r="Y73" s="40"/>
      <c r="Z73" s="40">
        <f t="shared" si="11"/>
        <v>0</v>
      </c>
      <c r="AA73" s="40">
        <f t="shared" si="26"/>
        <v>0</v>
      </c>
      <c r="AB73" s="43"/>
      <c r="AC73" s="43"/>
      <c r="AD73" s="43"/>
      <c r="AE73" s="43"/>
      <c r="AF73" s="43"/>
      <c r="AG73" s="43"/>
      <c r="AH73" s="43"/>
      <c r="AI73" s="43"/>
    </row>
    <row r="74" spans="1:35" s="16" customFormat="1" ht="15" customHeight="1">
      <c r="A74" s="70"/>
      <c r="B74" s="35" t="s">
        <v>27</v>
      </c>
      <c r="C74" s="199" t="s">
        <v>3</v>
      </c>
      <c r="D74" s="229">
        <f>+D73*1.04</f>
        <v>49.92</v>
      </c>
      <c r="E74" s="251"/>
      <c r="F74" s="35" t="s">
        <v>27</v>
      </c>
      <c r="G74" s="199" t="s">
        <v>3</v>
      </c>
      <c r="H74" s="229">
        <f>+H73*1.04</f>
        <v>0</v>
      </c>
      <c r="I74" s="216"/>
      <c r="J74" s="41"/>
      <c r="K74" s="41"/>
      <c r="L74" s="41">
        <v>2</v>
      </c>
      <c r="M74" s="41"/>
      <c r="N74" s="74">
        <f t="shared" si="23"/>
        <v>2</v>
      </c>
      <c r="O74" s="187">
        <f t="shared" si="27"/>
        <v>0</v>
      </c>
      <c r="P74" s="41">
        <f t="shared" si="28"/>
        <v>0</v>
      </c>
      <c r="Q74" s="41">
        <f t="shared" si="29"/>
        <v>0</v>
      </c>
      <c r="R74" s="41">
        <f t="shared" si="30"/>
        <v>0</v>
      </c>
      <c r="S74" s="188">
        <f t="shared" si="31"/>
        <v>0</v>
      </c>
      <c r="T74" s="170"/>
      <c r="U74" s="40">
        <f t="shared" si="32"/>
        <v>0</v>
      </c>
      <c r="V74" s="40">
        <f t="shared" si="33"/>
        <v>0</v>
      </c>
      <c r="W74" s="40">
        <f t="shared" si="34"/>
        <v>0</v>
      </c>
      <c r="X74" s="40">
        <f t="shared" si="24"/>
        <v>0</v>
      </c>
      <c r="Y74" s="40"/>
      <c r="Z74" s="40">
        <f t="shared" si="11"/>
        <v>0</v>
      </c>
      <c r="AA74" s="40">
        <f t="shared" si="26"/>
        <v>0</v>
      </c>
      <c r="AB74" s="43"/>
      <c r="AC74" s="43"/>
      <c r="AD74" s="43"/>
      <c r="AE74" s="43"/>
      <c r="AF74" s="43"/>
      <c r="AG74" s="43"/>
      <c r="AH74" s="43"/>
      <c r="AI74" s="43"/>
    </row>
    <row r="75" spans="1:35" s="16" customFormat="1" ht="15" customHeight="1">
      <c r="A75" s="70"/>
      <c r="B75" s="38" t="s">
        <v>120</v>
      </c>
      <c r="C75" s="199" t="s">
        <v>8</v>
      </c>
      <c r="D75" s="229">
        <f>+D73*3</f>
        <v>144</v>
      </c>
      <c r="E75" s="251"/>
      <c r="F75" s="38" t="s">
        <v>120</v>
      </c>
      <c r="G75" s="199" t="s">
        <v>8</v>
      </c>
      <c r="H75" s="229">
        <f>+H73*3</f>
        <v>0</v>
      </c>
      <c r="I75" s="216"/>
      <c r="J75" s="41"/>
      <c r="K75" s="41"/>
      <c r="L75" s="41">
        <v>0.01</v>
      </c>
      <c r="M75" s="41"/>
      <c r="N75" s="74">
        <f t="shared" si="23"/>
        <v>0.01</v>
      </c>
      <c r="O75" s="187">
        <f t="shared" si="27"/>
        <v>0</v>
      </c>
      <c r="P75" s="41">
        <f t="shared" si="28"/>
        <v>0</v>
      </c>
      <c r="Q75" s="41">
        <f t="shared" si="29"/>
        <v>0</v>
      </c>
      <c r="R75" s="41">
        <f t="shared" si="30"/>
        <v>0</v>
      </c>
      <c r="S75" s="188">
        <f t="shared" si="31"/>
        <v>0</v>
      </c>
      <c r="T75" s="170"/>
      <c r="U75" s="40">
        <f t="shared" si="32"/>
        <v>0</v>
      </c>
      <c r="V75" s="40">
        <f t="shared" si="33"/>
        <v>0</v>
      </c>
      <c r="W75" s="40">
        <f t="shared" si="34"/>
        <v>0</v>
      </c>
      <c r="X75" s="40">
        <f t="shared" si="24"/>
        <v>0</v>
      </c>
      <c r="Y75" s="40"/>
      <c r="Z75" s="40">
        <f t="shared" si="11"/>
        <v>0</v>
      </c>
      <c r="AA75" s="40">
        <f t="shared" si="26"/>
        <v>0</v>
      </c>
      <c r="AB75" s="43"/>
      <c r="AC75" s="43"/>
      <c r="AD75" s="43"/>
      <c r="AE75" s="43"/>
      <c r="AF75" s="43"/>
      <c r="AG75" s="43"/>
      <c r="AH75" s="43"/>
      <c r="AI75" s="43"/>
    </row>
    <row r="76" spans="1:35" s="16" customFormat="1" ht="30" customHeight="1">
      <c r="A76" s="73" t="s">
        <v>102</v>
      </c>
      <c r="B76" s="32" t="s">
        <v>172</v>
      </c>
      <c r="C76" s="109" t="s">
        <v>4</v>
      </c>
      <c r="D76" s="230">
        <v>27</v>
      </c>
      <c r="E76" s="255" t="s">
        <v>404</v>
      </c>
      <c r="F76" s="32" t="s">
        <v>172</v>
      </c>
      <c r="G76" s="109" t="s">
        <v>4</v>
      </c>
      <c r="H76" s="401">
        <v>80.16</v>
      </c>
      <c r="I76" s="218">
        <f>K76/J76</f>
        <v>0.9090909090909091</v>
      </c>
      <c r="J76" s="41">
        <v>2.2</v>
      </c>
      <c r="K76" s="34">
        <v>2</v>
      </c>
      <c r="L76" s="34"/>
      <c r="M76" s="34">
        <v>0.15</v>
      </c>
      <c r="N76" s="74">
        <f t="shared" si="23"/>
        <v>2.15</v>
      </c>
      <c r="O76" s="187">
        <f t="shared" si="27"/>
        <v>72.87272727272726</v>
      </c>
      <c r="P76" s="41">
        <f t="shared" si="28"/>
        <v>160.32</v>
      </c>
      <c r="Q76" s="41">
        <f t="shared" si="29"/>
        <v>0</v>
      </c>
      <c r="R76" s="41">
        <f t="shared" si="30"/>
        <v>12.02</v>
      </c>
      <c r="S76" s="188">
        <f t="shared" si="31"/>
        <v>172.34</v>
      </c>
      <c r="T76" s="170">
        <v>19</v>
      </c>
      <c r="U76" s="40">
        <f t="shared" si="32"/>
        <v>38</v>
      </c>
      <c r="V76" s="40">
        <f t="shared" si="33"/>
        <v>0</v>
      </c>
      <c r="W76" s="40">
        <f t="shared" si="34"/>
        <v>2.85</v>
      </c>
      <c r="X76" s="40">
        <f t="shared" si="24"/>
        <v>40.85</v>
      </c>
      <c r="Y76" s="40"/>
      <c r="Z76" s="40">
        <f t="shared" si="11"/>
        <v>0</v>
      </c>
      <c r="AA76" s="40">
        <f t="shared" si="26"/>
        <v>131.49</v>
      </c>
      <c r="AB76" s="43"/>
      <c r="AC76" s="43"/>
      <c r="AD76" s="43"/>
      <c r="AE76" s="43"/>
      <c r="AF76" s="43"/>
      <c r="AG76" s="43"/>
      <c r="AH76" s="43"/>
      <c r="AI76" s="43"/>
    </row>
    <row r="77" spans="1:35" s="16" customFormat="1" ht="15" customHeight="1">
      <c r="A77" s="70"/>
      <c r="B77" s="35" t="s">
        <v>173</v>
      </c>
      <c r="C77" s="199" t="s">
        <v>24</v>
      </c>
      <c r="D77" s="229">
        <f>+D76*0.25</f>
        <v>6.75</v>
      </c>
      <c r="E77" s="256"/>
      <c r="F77" s="35" t="s">
        <v>173</v>
      </c>
      <c r="G77" s="199" t="s">
        <v>24</v>
      </c>
      <c r="H77" s="372">
        <f>D77/27*H76</f>
        <v>20.04</v>
      </c>
      <c r="I77" s="218"/>
      <c r="J77" s="34"/>
      <c r="K77" s="34"/>
      <c r="L77" s="34">
        <v>1.2</v>
      </c>
      <c r="M77" s="34"/>
      <c r="N77" s="74">
        <f t="shared" si="23"/>
        <v>1.2</v>
      </c>
      <c r="O77" s="187">
        <f t="shared" si="27"/>
        <v>0</v>
      </c>
      <c r="P77" s="41">
        <f t="shared" si="28"/>
        <v>0</v>
      </c>
      <c r="Q77" s="41">
        <f t="shared" si="29"/>
        <v>24.048</v>
      </c>
      <c r="R77" s="41">
        <f t="shared" si="30"/>
        <v>0</v>
      </c>
      <c r="S77" s="188">
        <f t="shared" si="31"/>
        <v>24.048</v>
      </c>
      <c r="T77" s="170">
        <v>4.7</v>
      </c>
      <c r="U77" s="40">
        <f t="shared" si="32"/>
        <v>0</v>
      </c>
      <c r="V77" s="40">
        <f t="shared" si="33"/>
        <v>5.64</v>
      </c>
      <c r="W77" s="40">
        <f t="shared" si="34"/>
        <v>0</v>
      </c>
      <c r="X77" s="40">
        <f t="shared" si="24"/>
        <v>5.64</v>
      </c>
      <c r="Y77" s="40"/>
      <c r="Z77" s="40">
        <f t="shared" si="11"/>
        <v>0</v>
      </c>
      <c r="AA77" s="40">
        <f t="shared" si="26"/>
        <v>18.407999999999998</v>
      </c>
      <c r="AB77" s="43"/>
      <c r="AC77" s="43"/>
      <c r="AD77" s="43"/>
      <c r="AE77" s="43"/>
      <c r="AF77" s="43"/>
      <c r="AG77" s="43"/>
      <c r="AH77" s="43"/>
      <c r="AI77" s="43"/>
    </row>
    <row r="78" spans="1:35" s="16" customFormat="1" ht="15" customHeight="1">
      <c r="A78" s="70"/>
      <c r="B78" s="35" t="s">
        <v>174</v>
      </c>
      <c r="C78" s="199" t="s">
        <v>17</v>
      </c>
      <c r="D78" s="229">
        <f>+D76*0.4</f>
        <v>10.8</v>
      </c>
      <c r="E78" s="256"/>
      <c r="F78" s="35" t="s">
        <v>174</v>
      </c>
      <c r="G78" s="199" t="s">
        <v>17</v>
      </c>
      <c r="H78" s="372">
        <f>10.8/27*H76</f>
        <v>32.064</v>
      </c>
      <c r="I78" s="218"/>
      <c r="J78" s="34"/>
      <c r="K78" s="34"/>
      <c r="L78" s="34">
        <v>1.85</v>
      </c>
      <c r="M78" s="34"/>
      <c r="N78" s="74">
        <f t="shared" si="23"/>
        <v>1.85</v>
      </c>
      <c r="O78" s="187">
        <f t="shared" si="27"/>
        <v>0</v>
      </c>
      <c r="P78" s="41">
        <f t="shared" si="28"/>
        <v>0</v>
      </c>
      <c r="Q78" s="41">
        <f t="shared" si="29"/>
        <v>59.318400000000004</v>
      </c>
      <c r="R78" s="41">
        <f t="shared" si="30"/>
        <v>0</v>
      </c>
      <c r="S78" s="188">
        <f t="shared" si="31"/>
        <v>59.318400000000004</v>
      </c>
      <c r="T78" s="170">
        <v>7.6</v>
      </c>
      <c r="U78" s="40">
        <f t="shared" si="32"/>
        <v>0</v>
      </c>
      <c r="V78" s="40">
        <f t="shared" si="33"/>
        <v>14.06</v>
      </c>
      <c r="W78" s="40">
        <f t="shared" si="34"/>
        <v>0</v>
      </c>
      <c r="X78" s="40">
        <f t="shared" si="24"/>
        <v>14.06</v>
      </c>
      <c r="Y78" s="40"/>
      <c r="Z78" s="40">
        <f t="shared" si="11"/>
        <v>0</v>
      </c>
      <c r="AA78" s="40">
        <f t="shared" si="26"/>
        <v>45.2584</v>
      </c>
      <c r="AB78" s="43"/>
      <c r="AC78" s="43"/>
      <c r="AD78" s="43"/>
      <c r="AE78" s="43"/>
      <c r="AF78" s="43"/>
      <c r="AG78" s="43"/>
      <c r="AH78" s="43"/>
      <c r="AI78" s="43"/>
    </row>
    <row r="79" spans="1:35" s="16" customFormat="1" ht="15" customHeight="1">
      <c r="A79" s="70"/>
      <c r="B79" s="35" t="s">
        <v>175</v>
      </c>
      <c r="C79" s="199" t="s">
        <v>17</v>
      </c>
      <c r="D79" s="229">
        <f>+D76*0.5</f>
        <v>13.5</v>
      </c>
      <c r="E79" s="256"/>
      <c r="F79" s="35" t="s">
        <v>175</v>
      </c>
      <c r="G79" s="199" t="s">
        <v>17</v>
      </c>
      <c r="H79" s="372">
        <f>13.5/27*H76</f>
        <v>40.08</v>
      </c>
      <c r="I79" s="218"/>
      <c r="J79" s="34"/>
      <c r="K79" s="34"/>
      <c r="L79" s="34">
        <v>3</v>
      </c>
      <c r="M79" s="34"/>
      <c r="N79" s="74">
        <f aca="true" t="shared" si="35" ref="N79:N104">K79+L79+M79</f>
        <v>3</v>
      </c>
      <c r="O79" s="187">
        <f t="shared" si="27"/>
        <v>0</v>
      </c>
      <c r="P79" s="41">
        <f t="shared" si="28"/>
        <v>0</v>
      </c>
      <c r="Q79" s="41">
        <f t="shared" si="29"/>
        <v>120.24</v>
      </c>
      <c r="R79" s="41">
        <f t="shared" si="30"/>
        <v>0</v>
      </c>
      <c r="S79" s="188">
        <f t="shared" si="31"/>
        <v>120.24</v>
      </c>
      <c r="T79" s="170">
        <v>9.5</v>
      </c>
      <c r="U79" s="40">
        <f t="shared" si="32"/>
        <v>0</v>
      </c>
      <c r="V79" s="40">
        <f t="shared" si="33"/>
        <v>28.5</v>
      </c>
      <c r="W79" s="40">
        <f t="shared" si="34"/>
        <v>0</v>
      </c>
      <c r="X79" s="40">
        <f t="shared" si="24"/>
        <v>28.5</v>
      </c>
      <c r="Y79" s="40"/>
      <c r="Z79" s="40">
        <f t="shared" si="11"/>
        <v>0</v>
      </c>
      <c r="AA79" s="40">
        <f t="shared" si="26"/>
        <v>91.74</v>
      </c>
      <c r="AB79" s="43"/>
      <c r="AC79" s="43"/>
      <c r="AD79" s="43"/>
      <c r="AE79" s="43"/>
      <c r="AF79" s="43"/>
      <c r="AG79" s="43"/>
      <c r="AH79" s="43"/>
      <c r="AI79" s="43"/>
    </row>
    <row r="80" spans="1:36" s="16" customFormat="1" ht="15" customHeight="1">
      <c r="A80" s="70"/>
      <c r="B80" s="35" t="s">
        <v>176</v>
      </c>
      <c r="C80" s="199" t="s">
        <v>113</v>
      </c>
      <c r="D80" s="229">
        <v>1</v>
      </c>
      <c r="E80" s="256"/>
      <c r="F80" s="35" t="s">
        <v>176</v>
      </c>
      <c r="G80" s="199" t="s">
        <v>113</v>
      </c>
      <c r="H80" s="229">
        <v>1</v>
      </c>
      <c r="I80" s="218"/>
      <c r="J80" s="34"/>
      <c r="K80" s="34"/>
      <c r="L80" s="34">
        <v>10</v>
      </c>
      <c r="M80" s="34"/>
      <c r="N80" s="74">
        <f t="shared" si="35"/>
        <v>10</v>
      </c>
      <c r="O80" s="187">
        <f t="shared" si="27"/>
        <v>0</v>
      </c>
      <c r="P80" s="41">
        <f t="shared" si="28"/>
        <v>0</v>
      </c>
      <c r="Q80" s="41">
        <f t="shared" si="29"/>
        <v>10</v>
      </c>
      <c r="R80" s="41">
        <f t="shared" si="30"/>
        <v>0</v>
      </c>
      <c r="S80" s="188">
        <f t="shared" si="31"/>
        <v>10</v>
      </c>
      <c r="T80" s="170">
        <v>0.7</v>
      </c>
      <c r="U80" s="40">
        <f t="shared" si="32"/>
        <v>0</v>
      </c>
      <c r="V80" s="40">
        <f t="shared" si="33"/>
        <v>7</v>
      </c>
      <c r="W80" s="40">
        <f t="shared" si="34"/>
        <v>0</v>
      </c>
      <c r="X80" s="40">
        <f t="shared" si="24"/>
        <v>7</v>
      </c>
      <c r="Y80" s="40"/>
      <c r="Z80" s="40">
        <f t="shared" si="11"/>
        <v>0</v>
      </c>
      <c r="AA80" s="40">
        <f t="shared" si="26"/>
        <v>3</v>
      </c>
      <c r="AB80" s="43"/>
      <c r="AC80" s="43"/>
      <c r="AD80" s="43"/>
      <c r="AE80" s="43"/>
      <c r="AF80" s="43"/>
      <c r="AG80" s="43"/>
      <c r="AH80" s="43"/>
      <c r="AI80" s="43"/>
      <c r="AJ80" s="19"/>
    </row>
    <row r="81" spans="1:35" s="16" customFormat="1" ht="15" customHeight="1">
      <c r="A81" s="70" t="s">
        <v>103</v>
      </c>
      <c r="B81" s="37" t="s">
        <v>177</v>
      </c>
      <c r="C81" s="199" t="s">
        <v>6</v>
      </c>
      <c r="D81" s="229">
        <f>456*0.1*0.038</f>
        <v>1.7328000000000001</v>
      </c>
      <c r="E81" s="256" t="s">
        <v>103</v>
      </c>
      <c r="F81" s="37" t="s">
        <v>177</v>
      </c>
      <c r="G81" s="199" t="s">
        <v>6</v>
      </c>
      <c r="H81" s="229">
        <f>456*0.1*0.038</f>
        <v>1.7328000000000001</v>
      </c>
      <c r="I81" s="218">
        <f>K81/J81</f>
        <v>27.27272727272727</v>
      </c>
      <c r="J81" s="41">
        <v>2.2</v>
      </c>
      <c r="K81" s="34">
        <v>60</v>
      </c>
      <c r="L81" s="41"/>
      <c r="M81" s="41">
        <v>5</v>
      </c>
      <c r="N81" s="74">
        <f t="shared" si="35"/>
        <v>65</v>
      </c>
      <c r="O81" s="187">
        <f t="shared" si="27"/>
        <v>47.25818181818182</v>
      </c>
      <c r="P81" s="41">
        <f t="shared" si="28"/>
        <v>103.97</v>
      </c>
      <c r="Q81" s="41">
        <f t="shared" si="29"/>
        <v>0</v>
      </c>
      <c r="R81" s="41">
        <f t="shared" si="30"/>
        <v>8.66</v>
      </c>
      <c r="S81" s="188">
        <f t="shared" si="31"/>
        <v>112.63</v>
      </c>
      <c r="T81" s="170">
        <v>0.86</v>
      </c>
      <c r="U81" s="40">
        <f t="shared" si="32"/>
        <v>51.6</v>
      </c>
      <c r="V81" s="40">
        <f t="shared" si="33"/>
        <v>0</v>
      </c>
      <c r="W81" s="40">
        <f t="shared" si="34"/>
        <v>4.3</v>
      </c>
      <c r="X81" s="40">
        <f t="shared" si="24"/>
        <v>55.9</v>
      </c>
      <c r="Y81" s="40"/>
      <c r="Z81" s="40">
        <f>Y81*N81</f>
        <v>0</v>
      </c>
      <c r="AA81" s="40">
        <f t="shared" si="26"/>
        <v>56.73</v>
      </c>
      <c r="AB81" s="43"/>
      <c r="AC81" s="43"/>
      <c r="AD81" s="43"/>
      <c r="AE81" s="43"/>
      <c r="AF81" s="43"/>
      <c r="AG81" s="43"/>
      <c r="AH81" s="43"/>
      <c r="AI81" s="43"/>
    </row>
    <row r="82" spans="1:35" s="16" customFormat="1" ht="15" customHeight="1">
      <c r="A82" s="70"/>
      <c r="B82" s="35" t="s">
        <v>301</v>
      </c>
      <c r="C82" s="199" t="s">
        <v>6</v>
      </c>
      <c r="D82" s="229">
        <f>+D81*1.1</f>
        <v>1.9060800000000002</v>
      </c>
      <c r="E82" s="256"/>
      <c r="F82" s="35" t="s">
        <v>301</v>
      </c>
      <c r="G82" s="199" t="s">
        <v>6</v>
      </c>
      <c r="H82" s="229">
        <f>+H81*1.1</f>
        <v>1.9060800000000002</v>
      </c>
      <c r="I82" s="216"/>
      <c r="J82" s="41"/>
      <c r="K82" s="41"/>
      <c r="L82" s="41">
        <v>120</v>
      </c>
      <c r="M82" s="41"/>
      <c r="N82" s="74">
        <f t="shared" si="35"/>
        <v>120</v>
      </c>
      <c r="O82" s="187">
        <f t="shared" si="27"/>
        <v>0</v>
      </c>
      <c r="P82" s="41">
        <f t="shared" si="28"/>
        <v>0</v>
      </c>
      <c r="Q82" s="41">
        <f t="shared" si="29"/>
        <v>228.72960000000003</v>
      </c>
      <c r="R82" s="41">
        <f t="shared" si="30"/>
        <v>0</v>
      </c>
      <c r="S82" s="188">
        <f t="shared" si="31"/>
        <v>228.72960000000003</v>
      </c>
      <c r="T82" s="170">
        <v>0.95</v>
      </c>
      <c r="U82" s="40">
        <f t="shared" si="32"/>
        <v>0</v>
      </c>
      <c r="V82" s="40">
        <f t="shared" si="33"/>
        <v>114</v>
      </c>
      <c r="W82" s="40">
        <f t="shared" si="34"/>
        <v>0</v>
      </c>
      <c r="X82" s="40">
        <f t="shared" si="24"/>
        <v>114</v>
      </c>
      <c r="Y82" s="40"/>
      <c r="Z82" s="40">
        <f>Y82*N82</f>
        <v>0</v>
      </c>
      <c r="AA82" s="40">
        <f t="shared" si="26"/>
        <v>114.72960000000003</v>
      </c>
      <c r="AB82" s="43"/>
      <c r="AC82" s="43"/>
      <c r="AD82" s="43"/>
      <c r="AE82" s="43"/>
      <c r="AF82" s="43"/>
      <c r="AG82" s="43"/>
      <c r="AH82" s="43"/>
      <c r="AI82" s="43"/>
    </row>
    <row r="83" spans="1:35" s="16" customFormat="1" ht="15" customHeight="1">
      <c r="A83" s="70"/>
      <c r="B83" s="35" t="s">
        <v>120</v>
      </c>
      <c r="C83" s="199" t="s">
        <v>8</v>
      </c>
      <c r="D83" s="229">
        <f>+D85*12</f>
        <v>1898.3999999999999</v>
      </c>
      <c r="E83" s="256"/>
      <c r="F83" s="35" t="s">
        <v>120</v>
      </c>
      <c r="G83" s="199" t="s">
        <v>8</v>
      </c>
      <c r="H83" s="372">
        <f>+H85*12</f>
        <v>2033.28</v>
      </c>
      <c r="I83" s="216"/>
      <c r="J83" s="41"/>
      <c r="K83" s="41"/>
      <c r="L83" s="41">
        <v>0.1</v>
      </c>
      <c r="M83" s="41"/>
      <c r="N83" s="74">
        <f t="shared" si="35"/>
        <v>0.1</v>
      </c>
      <c r="O83" s="187">
        <f t="shared" si="27"/>
        <v>0</v>
      </c>
      <c r="P83" s="41">
        <f t="shared" si="28"/>
        <v>0</v>
      </c>
      <c r="Q83" s="41">
        <f t="shared" si="29"/>
        <v>203.328</v>
      </c>
      <c r="R83" s="41">
        <f t="shared" si="30"/>
        <v>0</v>
      </c>
      <c r="S83" s="188">
        <f t="shared" si="31"/>
        <v>203.328</v>
      </c>
      <c r="T83" s="170">
        <v>950</v>
      </c>
      <c r="U83" s="40">
        <f t="shared" si="32"/>
        <v>0</v>
      </c>
      <c r="V83" s="40">
        <f t="shared" si="33"/>
        <v>95</v>
      </c>
      <c r="W83" s="40">
        <f t="shared" si="34"/>
        <v>0</v>
      </c>
      <c r="X83" s="40">
        <f t="shared" si="24"/>
        <v>95</v>
      </c>
      <c r="Y83" s="40"/>
      <c r="Z83" s="40">
        <f>Y83*N83</f>
        <v>0</v>
      </c>
      <c r="AA83" s="40">
        <f t="shared" si="26"/>
        <v>108.328</v>
      </c>
      <c r="AB83" s="43"/>
      <c r="AC83" s="43"/>
      <c r="AD83" s="43"/>
      <c r="AE83" s="43"/>
      <c r="AF83" s="43"/>
      <c r="AG83" s="43"/>
      <c r="AH83" s="43"/>
      <c r="AI83" s="43"/>
    </row>
    <row r="84" spans="1:35" s="16" customFormat="1" ht="15" customHeight="1">
      <c r="A84" s="73"/>
      <c r="B84" s="35" t="s">
        <v>159</v>
      </c>
      <c r="C84" s="199" t="s">
        <v>113</v>
      </c>
      <c r="D84" s="229">
        <v>1</v>
      </c>
      <c r="E84" s="255"/>
      <c r="F84" s="35" t="s">
        <v>159</v>
      </c>
      <c r="G84" s="199" t="s">
        <v>113</v>
      </c>
      <c r="H84" s="229">
        <v>1</v>
      </c>
      <c r="I84" s="216"/>
      <c r="J84" s="41"/>
      <c r="K84" s="41"/>
      <c r="L84" s="41">
        <v>50</v>
      </c>
      <c r="M84" s="41"/>
      <c r="N84" s="74">
        <f t="shared" si="35"/>
        <v>50</v>
      </c>
      <c r="O84" s="187">
        <f t="shared" si="27"/>
        <v>0</v>
      </c>
      <c r="P84" s="41">
        <f t="shared" si="28"/>
        <v>0</v>
      </c>
      <c r="Q84" s="41">
        <f t="shared" si="29"/>
        <v>50</v>
      </c>
      <c r="R84" s="41">
        <f t="shared" si="30"/>
        <v>0</v>
      </c>
      <c r="S84" s="188">
        <f t="shared" si="31"/>
        <v>50</v>
      </c>
      <c r="T84" s="170">
        <v>0.5</v>
      </c>
      <c r="U84" s="40">
        <f t="shared" si="32"/>
        <v>0</v>
      </c>
      <c r="V84" s="40">
        <f t="shared" si="33"/>
        <v>25</v>
      </c>
      <c r="W84" s="40">
        <f t="shared" si="34"/>
        <v>0</v>
      </c>
      <c r="X84" s="40">
        <f t="shared" si="24"/>
        <v>25</v>
      </c>
      <c r="Y84" s="40"/>
      <c r="Z84" s="40">
        <f>Y84*N84</f>
        <v>0</v>
      </c>
      <c r="AA84" s="40">
        <f t="shared" si="26"/>
        <v>25</v>
      </c>
      <c r="AB84" s="43"/>
      <c r="AC84" s="43"/>
      <c r="AD84" s="43"/>
      <c r="AE84" s="43"/>
      <c r="AF84" s="43"/>
      <c r="AG84" s="43"/>
      <c r="AH84" s="43"/>
      <c r="AI84" s="43"/>
    </row>
    <row r="85" spans="1:35" s="16" customFormat="1" ht="15" customHeight="1">
      <c r="A85" s="73" t="s">
        <v>121</v>
      </c>
      <c r="B85" s="37" t="s">
        <v>178</v>
      </c>
      <c r="C85" s="199" t="s">
        <v>4</v>
      </c>
      <c r="D85" s="229">
        <f>+D20</f>
        <v>158.2</v>
      </c>
      <c r="E85" s="255" t="s">
        <v>423</v>
      </c>
      <c r="F85" s="37" t="s">
        <v>178</v>
      </c>
      <c r="G85" s="199" t="s">
        <v>4</v>
      </c>
      <c r="H85" s="372">
        <v>169.44</v>
      </c>
      <c r="I85" s="218">
        <f>K85/J85</f>
        <v>1.1363636363636362</v>
      </c>
      <c r="J85" s="41">
        <v>2.2</v>
      </c>
      <c r="K85" s="34">
        <v>2.5</v>
      </c>
      <c r="L85" s="34"/>
      <c r="M85" s="34">
        <v>0.3</v>
      </c>
      <c r="N85" s="74">
        <f t="shared" si="35"/>
        <v>2.8</v>
      </c>
      <c r="O85" s="187">
        <f t="shared" si="27"/>
        <v>192.54545454545453</v>
      </c>
      <c r="P85" s="41">
        <f t="shared" si="28"/>
        <v>423.6</v>
      </c>
      <c r="Q85" s="41">
        <f t="shared" si="29"/>
        <v>0</v>
      </c>
      <c r="R85" s="41">
        <f t="shared" si="30"/>
        <v>50.83</v>
      </c>
      <c r="S85" s="188">
        <f t="shared" si="31"/>
        <v>474.43</v>
      </c>
      <c r="T85" s="170"/>
      <c r="U85" s="40">
        <f t="shared" si="32"/>
        <v>0</v>
      </c>
      <c r="V85" s="40">
        <f t="shared" si="33"/>
        <v>0</v>
      </c>
      <c r="W85" s="40">
        <f t="shared" si="34"/>
        <v>0</v>
      </c>
      <c r="X85" s="40">
        <f t="shared" si="24"/>
        <v>0</v>
      </c>
      <c r="Y85" s="40"/>
      <c r="Z85" s="40">
        <f>Y85*N85</f>
        <v>0</v>
      </c>
      <c r="AA85" s="40">
        <f t="shared" si="26"/>
        <v>474.43</v>
      </c>
      <c r="AB85" s="43"/>
      <c r="AC85" s="43"/>
      <c r="AD85" s="43"/>
      <c r="AE85" s="43"/>
      <c r="AF85" s="43"/>
      <c r="AG85" s="43"/>
      <c r="AH85" s="43"/>
      <c r="AI85" s="43"/>
    </row>
    <row r="86" spans="1:35" s="16" customFormat="1" ht="25.5" customHeight="1">
      <c r="A86" s="73"/>
      <c r="B86" s="38" t="s">
        <v>179</v>
      </c>
      <c r="C86" s="199" t="s">
        <v>4</v>
      </c>
      <c r="D86" s="229">
        <f>+D85*1.08</f>
        <v>170.856</v>
      </c>
      <c r="E86" s="255"/>
      <c r="F86" s="38" t="s">
        <v>179</v>
      </c>
      <c r="G86" s="199" t="s">
        <v>4</v>
      </c>
      <c r="H86" s="372">
        <f>171.72/159*H85</f>
        <v>182.9952</v>
      </c>
      <c r="I86" s="218"/>
      <c r="J86" s="34"/>
      <c r="K86" s="34"/>
      <c r="L86" s="34">
        <v>3.65</v>
      </c>
      <c r="M86" s="34"/>
      <c r="N86" s="74">
        <f t="shared" si="35"/>
        <v>3.65</v>
      </c>
      <c r="O86" s="187">
        <f t="shared" si="27"/>
        <v>0</v>
      </c>
      <c r="P86" s="41">
        <f t="shared" si="28"/>
        <v>0</v>
      </c>
      <c r="Q86" s="41">
        <f t="shared" si="29"/>
        <v>667.93248</v>
      </c>
      <c r="R86" s="41">
        <f t="shared" si="30"/>
        <v>0</v>
      </c>
      <c r="S86" s="188">
        <f t="shared" si="31"/>
        <v>667.93248</v>
      </c>
      <c r="T86" s="170">
        <v>0</v>
      </c>
      <c r="U86" s="40">
        <f t="shared" si="32"/>
        <v>0</v>
      </c>
      <c r="V86" s="40">
        <f t="shared" si="33"/>
        <v>0</v>
      </c>
      <c r="W86" s="40">
        <f t="shared" si="34"/>
        <v>0</v>
      </c>
      <c r="X86" s="40">
        <f>U86+V86+W86</f>
        <v>0</v>
      </c>
      <c r="Y86" s="40">
        <v>170.86</v>
      </c>
      <c r="Z86" s="40">
        <f>Y86*N86-0.02</f>
        <v>623.619</v>
      </c>
      <c r="AA86" s="40">
        <f t="shared" si="26"/>
        <v>44.31348000000003</v>
      </c>
      <c r="AB86" s="43"/>
      <c r="AC86" s="43"/>
      <c r="AD86" s="43"/>
      <c r="AE86" s="43"/>
      <c r="AF86" s="43"/>
      <c r="AG86" s="43"/>
      <c r="AH86" s="43"/>
      <c r="AI86" s="43"/>
    </row>
    <row r="87" spans="1:35" s="16" customFormat="1" ht="15" customHeight="1">
      <c r="A87" s="73"/>
      <c r="B87" s="35" t="s">
        <v>120</v>
      </c>
      <c r="C87" s="199" t="s">
        <v>8</v>
      </c>
      <c r="D87" s="229">
        <f>+D86*12</f>
        <v>2050.272</v>
      </c>
      <c r="E87" s="255"/>
      <c r="F87" s="35" t="s">
        <v>120</v>
      </c>
      <c r="G87" s="199" t="s">
        <v>8</v>
      </c>
      <c r="H87" s="372">
        <f>2060.64/159*H85</f>
        <v>2195.9424</v>
      </c>
      <c r="I87" s="218"/>
      <c r="J87" s="34"/>
      <c r="K87" s="34"/>
      <c r="L87" s="34">
        <v>0.02</v>
      </c>
      <c r="M87" s="34"/>
      <c r="N87" s="74">
        <f t="shared" si="35"/>
        <v>0.02</v>
      </c>
      <c r="O87" s="187">
        <f t="shared" si="27"/>
        <v>0</v>
      </c>
      <c r="P87" s="41">
        <f t="shared" si="28"/>
        <v>0</v>
      </c>
      <c r="Q87" s="41">
        <f t="shared" si="29"/>
        <v>43.918848</v>
      </c>
      <c r="R87" s="41">
        <f t="shared" si="30"/>
        <v>0</v>
      </c>
      <c r="S87" s="188">
        <f t="shared" si="31"/>
        <v>43.918848</v>
      </c>
      <c r="T87" s="170"/>
      <c r="U87" s="40">
        <f t="shared" si="32"/>
        <v>0</v>
      </c>
      <c r="V87" s="40">
        <f t="shared" si="33"/>
        <v>0</v>
      </c>
      <c r="W87" s="40">
        <f t="shared" si="34"/>
        <v>0</v>
      </c>
      <c r="X87" s="40">
        <f t="shared" si="24"/>
        <v>0</v>
      </c>
      <c r="Y87" s="40"/>
      <c r="Z87" s="40">
        <f>Y87*N87</f>
        <v>0</v>
      </c>
      <c r="AA87" s="40">
        <f t="shared" si="26"/>
        <v>43.918848</v>
      </c>
      <c r="AB87" s="43"/>
      <c r="AC87" s="43"/>
      <c r="AD87" s="43"/>
      <c r="AE87" s="43"/>
      <c r="AF87" s="43"/>
      <c r="AG87" s="43"/>
      <c r="AH87" s="43"/>
      <c r="AI87" s="43"/>
    </row>
    <row r="88" spans="1:35" s="16" customFormat="1" ht="15" customHeight="1">
      <c r="A88" s="70"/>
      <c r="B88" s="35" t="s">
        <v>125</v>
      </c>
      <c r="C88" s="199" t="s">
        <v>4</v>
      </c>
      <c r="D88" s="229">
        <f>+D85</f>
        <v>158.2</v>
      </c>
      <c r="E88" s="256"/>
      <c r="F88" s="35" t="s">
        <v>125</v>
      </c>
      <c r="G88" s="199" t="s">
        <v>4</v>
      </c>
      <c r="H88" s="372">
        <f>H85</f>
        <v>169.44</v>
      </c>
      <c r="I88" s="218"/>
      <c r="J88" s="34"/>
      <c r="K88" s="34"/>
      <c r="L88" s="34">
        <v>0.5</v>
      </c>
      <c r="M88" s="34"/>
      <c r="N88" s="74">
        <f t="shared" si="35"/>
        <v>0.5</v>
      </c>
      <c r="O88" s="187">
        <f t="shared" si="27"/>
        <v>0</v>
      </c>
      <c r="P88" s="41">
        <f t="shared" si="28"/>
        <v>0</v>
      </c>
      <c r="Q88" s="41">
        <f t="shared" si="29"/>
        <v>84.72</v>
      </c>
      <c r="R88" s="41">
        <f t="shared" si="30"/>
        <v>0</v>
      </c>
      <c r="S88" s="188">
        <f t="shared" si="31"/>
        <v>84.72</v>
      </c>
      <c r="T88" s="170"/>
      <c r="U88" s="40">
        <f t="shared" si="32"/>
        <v>0</v>
      </c>
      <c r="V88" s="40">
        <f t="shared" si="33"/>
        <v>0</v>
      </c>
      <c r="W88" s="40">
        <f t="shared" si="34"/>
        <v>0</v>
      </c>
      <c r="X88" s="40">
        <f t="shared" si="24"/>
        <v>0</v>
      </c>
      <c r="Y88" s="40"/>
      <c r="Z88" s="40">
        <f>Y88*N88</f>
        <v>0</v>
      </c>
      <c r="AA88" s="40">
        <f t="shared" si="26"/>
        <v>84.72</v>
      </c>
      <c r="AB88" s="43"/>
      <c r="AC88" s="43"/>
      <c r="AD88" s="43"/>
      <c r="AE88" s="43"/>
      <c r="AF88" s="43"/>
      <c r="AG88" s="43"/>
      <c r="AH88" s="43"/>
      <c r="AI88" s="43"/>
    </row>
    <row r="89" spans="1:35" s="16" customFormat="1" ht="15" customHeight="1">
      <c r="A89" s="70" t="s">
        <v>122</v>
      </c>
      <c r="B89" s="37" t="s">
        <v>180</v>
      </c>
      <c r="C89" s="199" t="s">
        <v>4</v>
      </c>
      <c r="D89" s="229">
        <f>48*0.31*1.05</f>
        <v>15.623999999999999</v>
      </c>
      <c r="E89" s="256" t="s">
        <v>403</v>
      </c>
      <c r="F89" s="37" t="s">
        <v>180</v>
      </c>
      <c r="G89" s="199" t="s">
        <v>4</v>
      </c>
      <c r="H89" s="372">
        <v>59.04</v>
      </c>
      <c r="I89" s="218">
        <f>K89/J89</f>
        <v>1.1363636363636362</v>
      </c>
      <c r="J89" s="41">
        <v>2.2</v>
      </c>
      <c r="K89" s="34">
        <v>2.5</v>
      </c>
      <c r="L89" s="34"/>
      <c r="M89" s="34">
        <v>0.3</v>
      </c>
      <c r="N89" s="74">
        <f t="shared" si="35"/>
        <v>2.8</v>
      </c>
      <c r="O89" s="187">
        <f t="shared" si="27"/>
        <v>67.09090909090908</v>
      </c>
      <c r="P89" s="41">
        <f t="shared" si="28"/>
        <v>147.6</v>
      </c>
      <c r="Q89" s="41">
        <f t="shared" si="29"/>
        <v>0</v>
      </c>
      <c r="R89" s="41">
        <f t="shared" si="30"/>
        <v>17.71</v>
      </c>
      <c r="S89" s="188">
        <f t="shared" si="31"/>
        <v>165.31</v>
      </c>
      <c r="T89" s="170"/>
      <c r="U89" s="40">
        <f t="shared" si="32"/>
        <v>0</v>
      </c>
      <c r="V89" s="40">
        <f t="shared" si="33"/>
        <v>0</v>
      </c>
      <c r="W89" s="40">
        <f t="shared" si="34"/>
        <v>0</v>
      </c>
      <c r="X89" s="40">
        <f t="shared" si="24"/>
        <v>0</v>
      </c>
      <c r="Y89" s="40"/>
      <c r="Z89" s="40">
        <f>Y89*N89</f>
        <v>0</v>
      </c>
      <c r="AA89" s="40">
        <f t="shared" si="26"/>
        <v>165.31</v>
      </c>
      <c r="AB89" s="43"/>
      <c r="AC89" s="43"/>
      <c r="AD89" s="43"/>
      <c r="AE89" s="43"/>
      <c r="AF89" s="43"/>
      <c r="AG89" s="43"/>
      <c r="AH89" s="43"/>
      <c r="AI89" s="43"/>
    </row>
    <row r="90" spans="1:35" s="16" customFormat="1" ht="15" customHeight="1">
      <c r="A90" s="70"/>
      <c r="B90" s="35" t="s">
        <v>181</v>
      </c>
      <c r="C90" s="199" t="s">
        <v>4</v>
      </c>
      <c r="D90" s="229">
        <f>+D89*1.1</f>
        <v>17.1864</v>
      </c>
      <c r="E90" s="256"/>
      <c r="F90" s="35" t="s">
        <v>181</v>
      </c>
      <c r="G90" s="199" t="s">
        <v>4</v>
      </c>
      <c r="H90" s="372">
        <f>H89*1.1</f>
        <v>64.944</v>
      </c>
      <c r="I90" s="218"/>
      <c r="J90" s="34"/>
      <c r="K90" s="34"/>
      <c r="L90" s="34">
        <v>3.65</v>
      </c>
      <c r="M90" s="34"/>
      <c r="N90" s="74">
        <f t="shared" si="35"/>
        <v>3.65</v>
      </c>
      <c r="O90" s="187">
        <f t="shared" si="27"/>
        <v>0</v>
      </c>
      <c r="P90" s="41">
        <f t="shared" si="28"/>
        <v>0</v>
      </c>
      <c r="Q90" s="41">
        <f t="shared" si="29"/>
        <v>237.0456</v>
      </c>
      <c r="R90" s="41">
        <f t="shared" si="30"/>
        <v>0</v>
      </c>
      <c r="S90" s="188">
        <f t="shared" si="31"/>
        <v>237.0456</v>
      </c>
      <c r="T90" s="170">
        <v>0</v>
      </c>
      <c r="U90" s="40">
        <f t="shared" si="32"/>
        <v>0</v>
      </c>
      <c r="V90" s="40">
        <f t="shared" si="33"/>
        <v>0</v>
      </c>
      <c r="W90" s="40">
        <f t="shared" si="34"/>
        <v>0</v>
      </c>
      <c r="X90" s="40">
        <f t="shared" si="24"/>
        <v>0</v>
      </c>
      <c r="Y90" s="40">
        <v>17.19</v>
      </c>
      <c r="Z90" s="40">
        <f>Y90*N90-0.01</f>
        <v>62.73350000000001</v>
      </c>
      <c r="AA90" s="40">
        <f t="shared" si="26"/>
        <v>174.3121</v>
      </c>
      <c r="AB90" s="43"/>
      <c r="AC90" s="43"/>
      <c r="AD90" s="43"/>
      <c r="AE90" s="43"/>
      <c r="AF90" s="43"/>
      <c r="AG90" s="43"/>
      <c r="AH90" s="43"/>
      <c r="AI90" s="43"/>
    </row>
    <row r="91" spans="1:35" s="16" customFormat="1" ht="15" customHeight="1">
      <c r="A91" s="70"/>
      <c r="B91" s="35" t="s">
        <v>120</v>
      </c>
      <c r="C91" s="199" t="s">
        <v>8</v>
      </c>
      <c r="D91" s="229">
        <v>1836</v>
      </c>
      <c r="E91" s="256"/>
      <c r="F91" s="35" t="s">
        <v>120</v>
      </c>
      <c r="G91" s="199" t="s">
        <v>8</v>
      </c>
      <c r="H91" s="372">
        <f>D91/D89*H89</f>
        <v>6937.880184331798</v>
      </c>
      <c r="I91" s="218"/>
      <c r="J91" s="34"/>
      <c r="K91" s="34"/>
      <c r="L91" s="34">
        <v>0.02</v>
      </c>
      <c r="M91" s="34"/>
      <c r="N91" s="74">
        <f t="shared" si="35"/>
        <v>0.02</v>
      </c>
      <c r="O91" s="187">
        <f t="shared" si="27"/>
        <v>0</v>
      </c>
      <c r="P91" s="41">
        <f t="shared" si="28"/>
        <v>0</v>
      </c>
      <c r="Q91" s="41">
        <f t="shared" si="29"/>
        <v>138.75760368663597</v>
      </c>
      <c r="R91" s="41">
        <f t="shared" si="30"/>
        <v>0</v>
      </c>
      <c r="S91" s="188">
        <f t="shared" si="31"/>
        <v>138.75760368663597</v>
      </c>
      <c r="T91" s="170"/>
      <c r="U91" s="40">
        <f t="shared" si="32"/>
        <v>0</v>
      </c>
      <c r="V91" s="40">
        <f t="shared" si="33"/>
        <v>0</v>
      </c>
      <c r="W91" s="40">
        <f t="shared" si="34"/>
        <v>0</v>
      </c>
      <c r="X91" s="40">
        <f t="shared" si="24"/>
        <v>0</v>
      </c>
      <c r="Y91" s="40"/>
      <c r="Z91" s="40">
        <f>Y91*N91</f>
        <v>0</v>
      </c>
      <c r="AA91" s="40">
        <f t="shared" si="26"/>
        <v>138.75760368663597</v>
      </c>
      <c r="AB91" s="43"/>
      <c r="AC91" s="43"/>
      <c r="AD91" s="43"/>
      <c r="AE91" s="43"/>
      <c r="AF91" s="43"/>
      <c r="AG91" s="43"/>
      <c r="AH91" s="43"/>
      <c r="AI91" s="43"/>
    </row>
    <row r="92" spans="1:35" s="16" customFormat="1" ht="26.25" customHeight="1">
      <c r="A92" s="70" t="s">
        <v>123</v>
      </c>
      <c r="B92" s="32" t="s">
        <v>183</v>
      </c>
      <c r="C92" s="109" t="s">
        <v>4</v>
      </c>
      <c r="D92" s="230">
        <v>172.8</v>
      </c>
      <c r="E92" s="256" t="s">
        <v>123</v>
      </c>
      <c r="F92" s="32" t="s">
        <v>183</v>
      </c>
      <c r="G92" s="109" t="s">
        <v>4</v>
      </c>
      <c r="H92" s="230">
        <v>172.8</v>
      </c>
      <c r="I92" s="218">
        <f>K92/J92</f>
        <v>1.1363636363636362</v>
      </c>
      <c r="J92" s="41">
        <v>2.2</v>
      </c>
      <c r="K92" s="34">
        <v>2.5</v>
      </c>
      <c r="L92" s="34"/>
      <c r="M92" s="34">
        <v>0.3</v>
      </c>
      <c r="N92" s="74">
        <f t="shared" si="35"/>
        <v>2.8</v>
      </c>
      <c r="O92" s="187">
        <f t="shared" si="27"/>
        <v>196.36363636363635</v>
      </c>
      <c r="P92" s="41">
        <f t="shared" si="28"/>
        <v>432</v>
      </c>
      <c r="Q92" s="41">
        <f t="shared" si="29"/>
        <v>0</v>
      </c>
      <c r="R92" s="41">
        <f t="shared" si="30"/>
        <v>51.84</v>
      </c>
      <c r="S92" s="188">
        <f t="shared" si="31"/>
        <v>483.84000000000003</v>
      </c>
      <c r="T92" s="170">
        <v>0</v>
      </c>
      <c r="U92" s="40">
        <f t="shared" si="32"/>
        <v>0</v>
      </c>
      <c r="V92" s="40">
        <f t="shared" si="33"/>
        <v>0</v>
      </c>
      <c r="W92" s="40">
        <f t="shared" si="34"/>
        <v>0</v>
      </c>
      <c r="X92" s="40">
        <f t="shared" si="24"/>
        <v>0</v>
      </c>
      <c r="Y92" s="40">
        <v>20.74</v>
      </c>
      <c r="Z92" s="40">
        <f>Y92*N92</f>
        <v>58.07199999999999</v>
      </c>
      <c r="AA92" s="40">
        <f t="shared" si="26"/>
        <v>425.76800000000003</v>
      </c>
      <c r="AB92" s="43"/>
      <c r="AC92" s="43"/>
      <c r="AD92" s="43"/>
      <c r="AE92" s="43"/>
      <c r="AF92" s="43"/>
      <c r="AG92" s="43"/>
      <c r="AH92" s="43"/>
      <c r="AI92" s="43"/>
    </row>
    <row r="93" spans="1:35" s="16" customFormat="1" ht="15" customHeight="1">
      <c r="A93" s="70"/>
      <c r="B93" s="35" t="s">
        <v>23</v>
      </c>
      <c r="C93" s="199" t="s">
        <v>24</v>
      </c>
      <c r="D93" s="229">
        <f>+D92*0.3</f>
        <v>51.84</v>
      </c>
      <c r="E93" s="256"/>
      <c r="F93" s="35" t="s">
        <v>23</v>
      </c>
      <c r="G93" s="199" t="s">
        <v>24</v>
      </c>
      <c r="H93" s="229">
        <f>+H92*0.3</f>
        <v>51.84</v>
      </c>
      <c r="I93" s="218"/>
      <c r="J93" s="34"/>
      <c r="K93" s="34"/>
      <c r="L93" s="34">
        <v>0.69</v>
      </c>
      <c r="M93" s="34"/>
      <c r="N93" s="74">
        <f t="shared" si="35"/>
        <v>0.69</v>
      </c>
      <c r="O93" s="187">
        <f t="shared" si="27"/>
        <v>0</v>
      </c>
      <c r="P93" s="41">
        <f t="shared" si="28"/>
        <v>0</v>
      </c>
      <c r="Q93" s="41">
        <f t="shared" si="29"/>
        <v>35.7696</v>
      </c>
      <c r="R93" s="41">
        <f t="shared" si="30"/>
        <v>0</v>
      </c>
      <c r="S93" s="188">
        <f t="shared" si="31"/>
        <v>35.7696</v>
      </c>
      <c r="T93" s="170">
        <v>0</v>
      </c>
      <c r="U93" s="40">
        <f t="shared" si="32"/>
        <v>0</v>
      </c>
      <c r="V93" s="40">
        <f t="shared" si="33"/>
        <v>0</v>
      </c>
      <c r="W93" s="40">
        <f t="shared" si="34"/>
        <v>0</v>
      </c>
      <c r="X93" s="40">
        <f t="shared" si="24"/>
        <v>0</v>
      </c>
      <c r="Y93" s="40">
        <v>6.22</v>
      </c>
      <c r="Z93" s="40">
        <f>Y93*N93</f>
        <v>4.291799999999999</v>
      </c>
      <c r="AA93" s="40">
        <f t="shared" si="26"/>
        <v>31.4778</v>
      </c>
      <c r="AB93" s="43"/>
      <c r="AC93" s="43"/>
      <c r="AD93" s="43"/>
      <c r="AE93" s="43"/>
      <c r="AF93" s="43"/>
      <c r="AG93" s="43"/>
      <c r="AH93" s="43"/>
      <c r="AI93" s="43"/>
    </row>
    <row r="94" spans="1:35" s="16" customFormat="1" ht="15" customHeight="1">
      <c r="A94" s="70"/>
      <c r="B94" s="39" t="s">
        <v>160</v>
      </c>
      <c r="C94" s="109" t="s">
        <v>17</v>
      </c>
      <c r="D94" s="230">
        <f>+D92*5*1.3</f>
        <v>1123.2</v>
      </c>
      <c r="E94" s="256"/>
      <c r="F94" s="39" t="s">
        <v>160</v>
      </c>
      <c r="G94" s="109" t="s">
        <v>17</v>
      </c>
      <c r="H94" s="230">
        <f>+H92*5*1.3</f>
        <v>1123.2</v>
      </c>
      <c r="I94" s="218"/>
      <c r="J94" s="34"/>
      <c r="K94" s="34"/>
      <c r="L94" s="34">
        <v>0.18</v>
      </c>
      <c r="M94" s="34"/>
      <c r="N94" s="74">
        <f t="shared" si="35"/>
        <v>0.18</v>
      </c>
      <c r="O94" s="187">
        <f t="shared" si="27"/>
        <v>0</v>
      </c>
      <c r="P94" s="41">
        <f t="shared" si="28"/>
        <v>0</v>
      </c>
      <c r="Q94" s="41">
        <f t="shared" si="29"/>
        <v>202.176</v>
      </c>
      <c r="R94" s="41">
        <f t="shared" si="30"/>
        <v>0</v>
      </c>
      <c r="S94" s="188">
        <f t="shared" si="31"/>
        <v>202.176</v>
      </c>
      <c r="T94" s="170">
        <v>0</v>
      </c>
      <c r="U94" s="40">
        <f t="shared" si="32"/>
        <v>0</v>
      </c>
      <c r="V94" s="40">
        <f t="shared" si="33"/>
        <v>0</v>
      </c>
      <c r="W94" s="40">
        <f t="shared" si="34"/>
        <v>0</v>
      </c>
      <c r="X94" s="40">
        <f t="shared" si="24"/>
        <v>0</v>
      </c>
      <c r="Y94" s="40">
        <v>134.78</v>
      </c>
      <c r="Z94" s="40">
        <f>Y94*N94</f>
        <v>24.2604</v>
      </c>
      <c r="AA94" s="40">
        <f t="shared" si="26"/>
        <v>177.91559999999998</v>
      </c>
      <c r="AB94" s="43"/>
      <c r="AC94" s="43"/>
      <c r="AD94" s="43"/>
      <c r="AE94" s="43"/>
      <c r="AF94" s="43"/>
      <c r="AG94" s="43"/>
      <c r="AH94" s="43"/>
      <c r="AI94" s="43"/>
    </row>
    <row r="95" spans="1:35" s="16" customFormat="1" ht="15" customHeight="1">
      <c r="A95" s="70" t="s">
        <v>182</v>
      </c>
      <c r="B95" s="32" t="s">
        <v>185</v>
      </c>
      <c r="C95" s="109" t="s">
        <v>4</v>
      </c>
      <c r="D95" s="230">
        <f>+D92</f>
        <v>172.8</v>
      </c>
      <c r="E95" s="251" t="s">
        <v>182</v>
      </c>
      <c r="F95" s="32" t="s">
        <v>185</v>
      </c>
      <c r="G95" s="109" t="s">
        <v>4</v>
      </c>
      <c r="H95" s="230">
        <f>+H92</f>
        <v>172.8</v>
      </c>
      <c r="I95" s="218">
        <f>K95/J95</f>
        <v>0.6818181818181818</v>
      </c>
      <c r="J95" s="41">
        <v>2.2</v>
      </c>
      <c r="K95" s="34">
        <v>1.5</v>
      </c>
      <c r="L95" s="34"/>
      <c r="M95" s="34">
        <v>0.2</v>
      </c>
      <c r="N95" s="74">
        <f t="shared" si="35"/>
        <v>1.7</v>
      </c>
      <c r="O95" s="187">
        <f t="shared" si="27"/>
        <v>117.81818181818181</v>
      </c>
      <c r="P95" s="41">
        <f t="shared" si="28"/>
        <v>259.2</v>
      </c>
      <c r="Q95" s="41">
        <f t="shared" si="29"/>
        <v>0</v>
      </c>
      <c r="R95" s="41">
        <f t="shared" si="30"/>
        <v>34.56</v>
      </c>
      <c r="S95" s="188">
        <f t="shared" si="31"/>
        <v>293.76</v>
      </c>
      <c r="T95" s="170"/>
      <c r="U95" s="40">
        <f t="shared" si="32"/>
        <v>0</v>
      </c>
      <c r="V95" s="40">
        <f t="shared" si="33"/>
        <v>0</v>
      </c>
      <c r="W95" s="40">
        <f t="shared" si="34"/>
        <v>0</v>
      </c>
      <c r="X95" s="40">
        <f t="shared" si="24"/>
        <v>0</v>
      </c>
      <c r="Y95" s="40"/>
      <c r="Z95" s="40">
        <f aca="true" t="shared" si="36" ref="Z95:Z104">Y95*N95</f>
        <v>0</v>
      </c>
      <c r="AA95" s="40">
        <f t="shared" si="26"/>
        <v>293.76</v>
      </c>
      <c r="AB95" s="43"/>
      <c r="AC95" s="43"/>
      <c r="AD95" s="43"/>
      <c r="AE95" s="43"/>
      <c r="AF95" s="43"/>
      <c r="AG95" s="43"/>
      <c r="AH95" s="43"/>
      <c r="AI95" s="43"/>
    </row>
    <row r="96" spans="1:35" s="16" customFormat="1" ht="15" customHeight="1">
      <c r="A96" s="70"/>
      <c r="B96" s="35" t="s">
        <v>166</v>
      </c>
      <c r="C96" s="199" t="s">
        <v>24</v>
      </c>
      <c r="D96" s="229">
        <f>+D95*0.33</f>
        <v>57.02400000000001</v>
      </c>
      <c r="E96" s="251"/>
      <c r="F96" s="35" t="s">
        <v>166</v>
      </c>
      <c r="G96" s="199" t="s">
        <v>24</v>
      </c>
      <c r="H96" s="229">
        <f>+H95*0.33</f>
        <v>57.02400000000001</v>
      </c>
      <c r="I96" s="218"/>
      <c r="J96" s="34"/>
      <c r="K96" s="34"/>
      <c r="L96" s="34">
        <v>0.69</v>
      </c>
      <c r="M96" s="34"/>
      <c r="N96" s="74">
        <f t="shared" si="35"/>
        <v>0.69</v>
      </c>
      <c r="O96" s="187">
        <f t="shared" si="27"/>
        <v>0</v>
      </c>
      <c r="P96" s="41">
        <f t="shared" si="28"/>
        <v>0</v>
      </c>
      <c r="Q96" s="41">
        <f t="shared" si="29"/>
        <v>39.346560000000004</v>
      </c>
      <c r="R96" s="41">
        <f t="shared" si="30"/>
        <v>0</v>
      </c>
      <c r="S96" s="188">
        <f t="shared" si="31"/>
        <v>39.346560000000004</v>
      </c>
      <c r="T96" s="170"/>
      <c r="U96" s="40">
        <f t="shared" si="32"/>
        <v>0</v>
      </c>
      <c r="V96" s="40">
        <f t="shared" si="33"/>
        <v>0</v>
      </c>
      <c r="W96" s="40">
        <f t="shared" si="34"/>
        <v>0</v>
      </c>
      <c r="X96" s="40">
        <f t="shared" si="24"/>
        <v>0</v>
      </c>
      <c r="Y96" s="40"/>
      <c r="Z96" s="40">
        <f t="shared" si="36"/>
        <v>0</v>
      </c>
      <c r="AA96" s="40">
        <f t="shared" si="26"/>
        <v>39.346560000000004</v>
      </c>
      <c r="AB96" s="43"/>
      <c r="AC96" s="43"/>
      <c r="AD96" s="43"/>
      <c r="AE96" s="43"/>
      <c r="AF96" s="43"/>
      <c r="AG96" s="43"/>
      <c r="AH96" s="43"/>
      <c r="AI96" s="43"/>
    </row>
    <row r="97" spans="1:35" s="16" customFormat="1" ht="14.25" customHeight="1">
      <c r="A97" s="70"/>
      <c r="B97" s="35" t="s">
        <v>167</v>
      </c>
      <c r="C97" s="199" t="s">
        <v>17</v>
      </c>
      <c r="D97" s="229">
        <f>+D95*0.3</f>
        <v>51.84</v>
      </c>
      <c r="E97" s="251"/>
      <c r="F97" s="35" t="s">
        <v>167</v>
      </c>
      <c r="G97" s="199" t="s">
        <v>17</v>
      </c>
      <c r="H97" s="229">
        <f>+H95*0.3</f>
        <v>51.84</v>
      </c>
      <c r="I97" s="218"/>
      <c r="J97" s="34"/>
      <c r="K97" s="34"/>
      <c r="L97" s="34">
        <v>2.2</v>
      </c>
      <c r="M97" s="34"/>
      <c r="N97" s="74">
        <f t="shared" si="35"/>
        <v>2.2</v>
      </c>
      <c r="O97" s="187">
        <f t="shared" si="27"/>
        <v>0</v>
      </c>
      <c r="P97" s="41">
        <f t="shared" si="28"/>
        <v>0</v>
      </c>
      <c r="Q97" s="41">
        <f t="shared" si="29"/>
        <v>114.04800000000002</v>
      </c>
      <c r="R97" s="41">
        <f t="shared" si="30"/>
        <v>0</v>
      </c>
      <c r="S97" s="188">
        <f t="shared" si="31"/>
        <v>114.04800000000002</v>
      </c>
      <c r="T97" s="170"/>
      <c r="U97" s="40">
        <f t="shared" si="32"/>
        <v>0</v>
      </c>
      <c r="V97" s="40">
        <f t="shared" si="33"/>
        <v>0</v>
      </c>
      <c r="W97" s="40">
        <f t="shared" si="34"/>
        <v>0</v>
      </c>
      <c r="X97" s="40">
        <f t="shared" si="24"/>
        <v>0</v>
      </c>
      <c r="Y97" s="40"/>
      <c r="Z97" s="40">
        <f t="shared" si="36"/>
        <v>0</v>
      </c>
      <c r="AA97" s="40">
        <f t="shared" si="26"/>
        <v>114.04800000000002</v>
      </c>
      <c r="AB97" s="43"/>
      <c r="AC97" s="43"/>
      <c r="AD97" s="43"/>
      <c r="AE97" s="43"/>
      <c r="AF97" s="43"/>
      <c r="AG97" s="43"/>
      <c r="AH97" s="43"/>
      <c r="AI97" s="43"/>
    </row>
    <row r="98" spans="1:35" s="16" customFormat="1" ht="30.75" customHeight="1">
      <c r="A98" s="70" t="s">
        <v>184</v>
      </c>
      <c r="B98" s="32" t="s">
        <v>187</v>
      </c>
      <c r="C98" s="107" t="s">
        <v>4</v>
      </c>
      <c r="D98" s="229">
        <f>+D92</f>
        <v>172.8</v>
      </c>
      <c r="E98" s="251" t="s">
        <v>184</v>
      </c>
      <c r="F98" s="32" t="s">
        <v>187</v>
      </c>
      <c r="G98" s="107" t="s">
        <v>4</v>
      </c>
      <c r="H98" s="229">
        <f>+H92</f>
        <v>172.8</v>
      </c>
      <c r="I98" s="218">
        <f>K98/J98</f>
        <v>0.5681818181818181</v>
      </c>
      <c r="J98" s="41">
        <v>2.2</v>
      </c>
      <c r="K98" s="34">
        <v>1.25</v>
      </c>
      <c r="L98" s="34"/>
      <c r="M98" s="34">
        <v>0.05</v>
      </c>
      <c r="N98" s="74">
        <f t="shared" si="35"/>
        <v>1.3</v>
      </c>
      <c r="O98" s="187">
        <f t="shared" si="27"/>
        <v>98.18181818181817</v>
      </c>
      <c r="P98" s="41">
        <f t="shared" si="28"/>
        <v>216</v>
      </c>
      <c r="Q98" s="41">
        <f t="shared" si="29"/>
        <v>0</v>
      </c>
      <c r="R98" s="41">
        <f t="shared" si="30"/>
        <v>8.64</v>
      </c>
      <c r="S98" s="188">
        <f>R98+Q98+P98</f>
        <v>224.64</v>
      </c>
      <c r="T98" s="170"/>
      <c r="U98" s="40">
        <f>T98*K98</f>
        <v>0</v>
      </c>
      <c r="V98" s="40">
        <f t="shared" si="33"/>
        <v>0</v>
      </c>
      <c r="W98" s="40">
        <f t="shared" si="34"/>
        <v>0</v>
      </c>
      <c r="X98" s="40">
        <f t="shared" si="24"/>
        <v>0</v>
      </c>
      <c r="Y98" s="40"/>
      <c r="Z98" s="40">
        <f t="shared" si="36"/>
        <v>0</v>
      </c>
      <c r="AA98" s="40">
        <f aca="true" t="shared" si="37" ref="AA98:AA104">S98-X98-Z98</f>
        <v>224.64</v>
      </c>
      <c r="AB98" s="43"/>
      <c r="AC98" s="43"/>
      <c r="AD98" s="43"/>
      <c r="AE98" s="43"/>
      <c r="AF98" s="43"/>
      <c r="AG98" s="43"/>
      <c r="AH98" s="43"/>
      <c r="AI98" s="43"/>
    </row>
    <row r="99" spans="1:35" s="16" customFormat="1" ht="15" customHeight="1">
      <c r="A99" s="70"/>
      <c r="B99" s="100" t="s">
        <v>302</v>
      </c>
      <c r="C99" s="107" t="s">
        <v>17</v>
      </c>
      <c r="D99" s="229">
        <f>+D98*0.25</f>
        <v>43.2</v>
      </c>
      <c r="E99" s="251"/>
      <c r="F99" s="100" t="s">
        <v>302</v>
      </c>
      <c r="G99" s="107" t="s">
        <v>17</v>
      </c>
      <c r="H99" s="229">
        <f>+H98*0.25</f>
        <v>43.2</v>
      </c>
      <c r="I99" s="218"/>
      <c r="J99" s="34"/>
      <c r="K99" s="34"/>
      <c r="L99" s="34">
        <v>6.45</v>
      </c>
      <c r="M99" s="34"/>
      <c r="N99" s="74">
        <f t="shared" si="35"/>
        <v>6.45</v>
      </c>
      <c r="O99" s="187">
        <f aca="true" t="shared" si="38" ref="O99:O104">H99*I99</f>
        <v>0</v>
      </c>
      <c r="P99" s="41">
        <f aca="true" t="shared" si="39" ref="P99:P104">ROUND(H99*K99,2)</f>
        <v>0</v>
      </c>
      <c r="Q99" s="41">
        <f aca="true" t="shared" si="40" ref="Q99:Q104">H99*L99</f>
        <v>278.64000000000004</v>
      </c>
      <c r="R99" s="41">
        <f aca="true" t="shared" si="41" ref="R99:R104">ROUND(H99*M99,2)</f>
        <v>0</v>
      </c>
      <c r="S99" s="188">
        <f aca="true" t="shared" si="42" ref="S99:S104">R99+Q99+P99</f>
        <v>278.64000000000004</v>
      </c>
      <c r="T99" s="170"/>
      <c r="U99" s="40">
        <f aca="true" t="shared" si="43" ref="U99:U104">T99*K99</f>
        <v>0</v>
      </c>
      <c r="V99" s="40">
        <f aca="true" t="shared" si="44" ref="V99:V104">T99*L99</f>
        <v>0</v>
      </c>
      <c r="W99" s="40">
        <f aca="true" t="shared" si="45" ref="W99:W104">T99*M99</f>
        <v>0</v>
      </c>
      <c r="X99" s="40">
        <f aca="true" t="shared" si="46" ref="X99:X104">U99+V99+W99</f>
        <v>0</v>
      </c>
      <c r="Y99" s="40"/>
      <c r="Z99" s="40">
        <f t="shared" si="36"/>
        <v>0</v>
      </c>
      <c r="AA99" s="40">
        <f t="shared" si="37"/>
        <v>278.64000000000004</v>
      </c>
      <c r="AB99" s="43"/>
      <c r="AC99" s="43"/>
      <c r="AD99" s="43"/>
      <c r="AE99" s="43"/>
      <c r="AF99" s="43"/>
      <c r="AG99" s="43"/>
      <c r="AH99" s="43"/>
      <c r="AI99" s="43"/>
    </row>
    <row r="100" spans="1:35" s="16" customFormat="1" ht="15" customHeight="1">
      <c r="A100" s="70" t="s">
        <v>186</v>
      </c>
      <c r="B100" s="72" t="s">
        <v>189</v>
      </c>
      <c r="C100" s="199" t="s">
        <v>3</v>
      </c>
      <c r="D100" s="229">
        <f>+D23</f>
        <v>268</v>
      </c>
      <c r="E100" s="251" t="s">
        <v>186</v>
      </c>
      <c r="F100" s="72" t="s">
        <v>189</v>
      </c>
      <c r="G100" s="199" t="s">
        <v>3</v>
      </c>
      <c r="H100" s="229">
        <v>268</v>
      </c>
      <c r="I100" s="218">
        <f>K100/J100</f>
        <v>1.2727272727272725</v>
      </c>
      <c r="J100" s="41">
        <v>2.2</v>
      </c>
      <c r="K100" s="34">
        <v>2.8</v>
      </c>
      <c r="L100" s="34"/>
      <c r="M100" s="34">
        <v>0.2</v>
      </c>
      <c r="N100" s="74">
        <f t="shared" si="35"/>
        <v>3</v>
      </c>
      <c r="O100" s="187">
        <f t="shared" si="38"/>
        <v>341.090909090909</v>
      </c>
      <c r="P100" s="41">
        <f t="shared" si="39"/>
        <v>750.4</v>
      </c>
      <c r="Q100" s="41">
        <f t="shared" si="40"/>
        <v>0</v>
      </c>
      <c r="R100" s="41">
        <f t="shared" si="41"/>
        <v>53.6</v>
      </c>
      <c r="S100" s="188">
        <f t="shared" si="42"/>
        <v>804</v>
      </c>
      <c r="T100" s="170">
        <v>45</v>
      </c>
      <c r="U100" s="40">
        <f t="shared" si="43"/>
        <v>125.99999999999999</v>
      </c>
      <c r="V100" s="40">
        <f t="shared" si="44"/>
        <v>0</v>
      </c>
      <c r="W100" s="40">
        <f t="shared" si="45"/>
        <v>9</v>
      </c>
      <c r="X100" s="40">
        <f t="shared" si="46"/>
        <v>135</v>
      </c>
      <c r="Y100" s="40">
        <v>170</v>
      </c>
      <c r="Z100" s="40">
        <f t="shared" si="36"/>
        <v>510</v>
      </c>
      <c r="AA100" s="40">
        <f t="shared" si="37"/>
        <v>159</v>
      </c>
      <c r="AB100" s="43"/>
      <c r="AC100" s="43"/>
      <c r="AD100" s="43"/>
      <c r="AE100" s="43"/>
      <c r="AF100" s="43"/>
      <c r="AG100" s="43"/>
      <c r="AH100" s="43"/>
      <c r="AI100" s="43"/>
    </row>
    <row r="101" spans="1:35" s="16" customFormat="1" ht="15" customHeight="1">
      <c r="A101" s="70"/>
      <c r="B101" s="38" t="s">
        <v>190</v>
      </c>
      <c r="C101" s="199" t="s">
        <v>3</v>
      </c>
      <c r="D101" s="229">
        <f>138*1.05</f>
        <v>144.9</v>
      </c>
      <c r="E101" s="251"/>
      <c r="F101" s="38" t="s">
        <v>190</v>
      </c>
      <c r="G101" s="199" t="s">
        <v>3</v>
      </c>
      <c r="H101" s="229">
        <f>H100*0.54067</f>
        <v>144.89956</v>
      </c>
      <c r="I101" s="218"/>
      <c r="J101" s="34"/>
      <c r="K101" s="34"/>
      <c r="L101" s="34">
        <v>3.5</v>
      </c>
      <c r="M101" s="34"/>
      <c r="N101" s="74">
        <f t="shared" si="35"/>
        <v>3.5</v>
      </c>
      <c r="O101" s="187">
        <f t="shared" si="38"/>
        <v>0</v>
      </c>
      <c r="P101" s="41">
        <f t="shared" si="39"/>
        <v>0</v>
      </c>
      <c r="Q101" s="41">
        <f t="shared" si="40"/>
        <v>507.14846</v>
      </c>
      <c r="R101" s="41">
        <f t="shared" si="41"/>
        <v>0</v>
      </c>
      <c r="S101" s="188">
        <f t="shared" si="42"/>
        <v>507.14846</v>
      </c>
      <c r="T101" s="170">
        <v>0</v>
      </c>
      <c r="U101" s="40">
        <f t="shared" si="43"/>
        <v>0</v>
      </c>
      <c r="V101" s="40">
        <f t="shared" si="44"/>
        <v>0</v>
      </c>
      <c r="W101" s="40">
        <f t="shared" si="45"/>
        <v>0</v>
      </c>
      <c r="X101" s="40">
        <f t="shared" si="46"/>
        <v>0</v>
      </c>
      <c r="Y101" s="40">
        <v>144.9</v>
      </c>
      <c r="Z101" s="40">
        <f t="shared" si="36"/>
        <v>507.15000000000003</v>
      </c>
      <c r="AA101" s="40">
        <f t="shared" si="37"/>
        <v>-0.0015400000000340697</v>
      </c>
      <c r="AB101" s="43"/>
      <c r="AC101" s="43"/>
      <c r="AD101" s="43"/>
      <c r="AE101" s="43"/>
      <c r="AF101" s="43"/>
      <c r="AG101" s="43"/>
      <c r="AH101" s="43"/>
      <c r="AI101" s="43"/>
    </row>
    <row r="102" spans="1:38" s="16" customFormat="1" ht="15" customHeight="1">
      <c r="A102" s="70"/>
      <c r="B102" s="38" t="s">
        <v>191</v>
      </c>
      <c r="C102" s="199" t="s">
        <v>3</v>
      </c>
      <c r="D102" s="229">
        <f>130*1.05</f>
        <v>136.5</v>
      </c>
      <c r="E102" s="251"/>
      <c r="F102" s="38" t="s">
        <v>191</v>
      </c>
      <c r="G102" s="199" t="s">
        <v>3</v>
      </c>
      <c r="H102" s="229">
        <f>H100*0.509328</f>
        <v>136.49990400000002</v>
      </c>
      <c r="I102" s="218"/>
      <c r="J102" s="34"/>
      <c r="K102" s="34"/>
      <c r="L102" s="34">
        <v>3.5</v>
      </c>
      <c r="M102" s="34"/>
      <c r="N102" s="74">
        <f t="shared" si="35"/>
        <v>3.5</v>
      </c>
      <c r="O102" s="187">
        <f t="shared" si="38"/>
        <v>0</v>
      </c>
      <c r="P102" s="41">
        <f t="shared" si="39"/>
        <v>0</v>
      </c>
      <c r="Q102" s="41">
        <f t="shared" si="40"/>
        <v>477.74966400000005</v>
      </c>
      <c r="R102" s="41">
        <f t="shared" si="41"/>
        <v>0</v>
      </c>
      <c r="S102" s="188">
        <f t="shared" si="42"/>
        <v>477.74966400000005</v>
      </c>
      <c r="T102" s="170">
        <v>0</v>
      </c>
      <c r="U102" s="40">
        <f t="shared" si="43"/>
        <v>0</v>
      </c>
      <c r="V102" s="40">
        <f t="shared" si="44"/>
        <v>0</v>
      </c>
      <c r="W102" s="40">
        <f t="shared" si="45"/>
        <v>0</v>
      </c>
      <c r="X102" s="40">
        <f t="shared" si="46"/>
        <v>0</v>
      </c>
      <c r="Y102" s="40">
        <v>136.5</v>
      </c>
      <c r="Z102" s="40">
        <f t="shared" si="36"/>
        <v>477.75</v>
      </c>
      <c r="AA102" s="40">
        <f t="shared" si="37"/>
        <v>-0.0003359999999474894</v>
      </c>
      <c r="AB102" s="43"/>
      <c r="AC102" s="43"/>
      <c r="AD102" s="43"/>
      <c r="AE102" s="43"/>
      <c r="AF102" s="43"/>
      <c r="AG102" s="43"/>
      <c r="AH102" s="43"/>
      <c r="AI102" s="43"/>
      <c r="AJ102" s="19"/>
      <c r="AK102" s="19"/>
      <c r="AL102" s="19"/>
    </row>
    <row r="103" spans="1:35" s="16" customFormat="1" ht="24.75" customHeight="1">
      <c r="A103" s="70" t="s">
        <v>188</v>
      </c>
      <c r="B103" s="79" t="s">
        <v>192</v>
      </c>
      <c r="C103" s="107" t="s">
        <v>4</v>
      </c>
      <c r="D103" s="229">
        <v>1425</v>
      </c>
      <c r="E103" s="251" t="s">
        <v>188</v>
      </c>
      <c r="F103" s="79" t="s">
        <v>192</v>
      </c>
      <c r="G103" s="107" t="s">
        <v>4</v>
      </c>
      <c r="H103" s="229">
        <v>1425</v>
      </c>
      <c r="I103" s="218">
        <f>K103/J103</f>
        <v>0.5454545454545454</v>
      </c>
      <c r="J103" s="41">
        <v>2.2</v>
      </c>
      <c r="K103" s="34">
        <v>1.2</v>
      </c>
      <c r="L103" s="34">
        <v>0.85</v>
      </c>
      <c r="M103" s="34">
        <v>0.1</v>
      </c>
      <c r="N103" s="74">
        <f t="shared" si="35"/>
        <v>2.15</v>
      </c>
      <c r="O103" s="187">
        <f t="shared" si="38"/>
        <v>777.2727272727273</v>
      </c>
      <c r="P103" s="41">
        <f t="shared" si="39"/>
        <v>1710</v>
      </c>
      <c r="Q103" s="41">
        <f t="shared" si="40"/>
        <v>1211.25</v>
      </c>
      <c r="R103" s="41">
        <f t="shared" si="41"/>
        <v>142.5</v>
      </c>
      <c r="S103" s="188">
        <f t="shared" si="42"/>
        <v>3063.75</v>
      </c>
      <c r="T103" s="170">
        <v>550</v>
      </c>
      <c r="U103" s="40">
        <f t="shared" si="43"/>
        <v>660</v>
      </c>
      <c r="V103" s="40">
        <f t="shared" si="44"/>
        <v>467.5</v>
      </c>
      <c r="W103" s="40">
        <f t="shared" si="45"/>
        <v>55</v>
      </c>
      <c r="X103" s="40">
        <f t="shared" si="46"/>
        <v>1182.5</v>
      </c>
      <c r="Y103" s="40">
        <v>807.5</v>
      </c>
      <c r="Z103" s="40">
        <f t="shared" si="36"/>
        <v>1736.125</v>
      </c>
      <c r="AA103" s="40">
        <f t="shared" si="37"/>
        <v>145.125</v>
      </c>
      <c r="AB103" s="43"/>
      <c r="AC103" s="43"/>
      <c r="AD103" s="43"/>
      <c r="AE103" s="43"/>
      <c r="AF103" s="43"/>
      <c r="AG103" s="43"/>
      <c r="AH103" s="43"/>
      <c r="AI103" s="43"/>
    </row>
    <row r="104" spans="1:35" s="16" customFormat="1" ht="15" customHeight="1" thickBot="1">
      <c r="A104" s="36" t="s">
        <v>30</v>
      </c>
      <c r="B104" s="35" t="s">
        <v>193</v>
      </c>
      <c r="C104" s="199" t="s">
        <v>4</v>
      </c>
      <c r="D104" s="229">
        <f>+D103</f>
        <v>1425</v>
      </c>
      <c r="E104" s="251" t="s">
        <v>30</v>
      </c>
      <c r="F104" s="35" t="s">
        <v>193</v>
      </c>
      <c r="G104" s="199" t="s">
        <v>4</v>
      </c>
      <c r="H104" s="229">
        <f>+H103</f>
        <v>1425</v>
      </c>
      <c r="I104" s="218"/>
      <c r="J104" s="34"/>
      <c r="K104" s="34"/>
      <c r="L104" s="34"/>
      <c r="M104" s="34">
        <v>1.2</v>
      </c>
      <c r="N104" s="74">
        <f t="shared" si="35"/>
        <v>1.2</v>
      </c>
      <c r="O104" s="187">
        <f t="shared" si="38"/>
        <v>0</v>
      </c>
      <c r="P104" s="41">
        <f t="shared" si="39"/>
        <v>0</v>
      </c>
      <c r="Q104" s="41">
        <f t="shared" si="40"/>
        <v>0</v>
      </c>
      <c r="R104" s="41">
        <f t="shared" si="41"/>
        <v>1710</v>
      </c>
      <c r="S104" s="188">
        <f t="shared" si="42"/>
        <v>1710</v>
      </c>
      <c r="T104" s="171">
        <v>550</v>
      </c>
      <c r="U104" s="83">
        <f t="shared" si="43"/>
        <v>0</v>
      </c>
      <c r="V104" s="83">
        <f t="shared" si="44"/>
        <v>0</v>
      </c>
      <c r="W104" s="83">
        <f t="shared" si="45"/>
        <v>660</v>
      </c>
      <c r="X104" s="83">
        <f t="shared" si="46"/>
        <v>660</v>
      </c>
      <c r="Y104" s="82">
        <f>+Y103</f>
        <v>807.5</v>
      </c>
      <c r="Z104" s="83">
        <f t="shared" si="36"/>
        <v>969</v>
      </c>
      <c r="AA104" s="83">
        <f t="shared" si="37"/>
        <v>81</v>
      </c>
      <c r="AB104" s="43"/>
      <c r="AC104" s="43"/>
      <c r="AD104" s="43"/>
      <c r="AE104" s="43"/>
      <c r="AF104" s="43"/>
      <c r="AG104" s="43"/>
      <c r="AH104" s="43"/>
      <c r="AI104" s="43"/>
    </row>
    <row r="105" spans="1:35" s="16" customFormat="1" ht="15" customHeight="1" thickBot="1">
      <c r="A105" s="101"/>
      <c r="B105" s="102"/>
      <c r="C105" s="207"/>
      <c r="D105" s="232"/>
      <c r="E105" s="257" t="s">
        <v>410</v>
      </c>
      <c r="F105" s="416" t="s">
        <v>369</v>
      </c>
      <c r="G105" s="203" t="s">
        <v>370</v>
      </c>
      <c r="H105" s="417">
        <v>1</v>
      </c>
      <c r="I105" s="219">
        <f>K105/J105</f>
        <v>0</v>
      </c>
      <c r="J105" s="103">
        <v>2.2</v>
      </c>
      <c r="K105" s="103">
        <v>0</v>
      </c>
      <c r="L105" s="103">
        <v>331</v>
      </c>
      <c r="M105" s="103">
        <v>0</v>
      </c>
      <c r="N105" s="164">
        <v>331</v>
      </c>
      <c r="O105" s="191">
        <f>ROUND(H105*I105,2)</f>
        <v>0</v>
      </c>
      <c r="P105" s="103">
        <f>ROUND(H105*K105,2)</f>
        <v>0</v>
      </c>
      <c r="Q105" s="103">
        <f>ROUND(H105*L105,2)</f>
        <v>331</v>
      </c>
      <c r="R105" s="103">
        <f>ROUND(H105*M105,2)</f>
        <v>0</v>
      </c>
      <c r="S105" s="192">
        <f>R105+Q105+P105</f>
        <v>331</v>
      </c>
      <c r="T105" s="175"/>
      <c r="U105" s="104"/>
      <c r="V105" s="104"/>
      <c r="W105" s="104"/>
      <c r="X105" s="104"/>
      <c r="Y105" s="105"/>
      <c r="Z105" s="104"/>
      <c r="AA105" s="104"/>
      <c r="AB105" s="43"/>
      <c r="AC105" s="43"/>
      <c r="AD105" s="43"/>
      <c r="AE105" s="43"/>
      <c r="AF105" s="43"/>
      <c r="AG105" s="43"/>
      <c r="AH105" s="43"/>
      <c r="AI105" s="43"/>
    </row>
    <row r="106" spans="1:39" s="16" customFormat="1" ht="14.25" customHeight="1" thickBot="1">
      <c r="A106" s="162"/>
      <c r="B106" s="277" t="s">
        <v>336</v>
      </c>
      <c r="C106" s="161"/>
      <c r="D106" s="272"/>
      <c r="E106" s="249"/>
      <c r="F106" s="277" t="s">
        <v>336</v>
      </c>
      <c r="G106" s="161"/>
      <c r="H106" s="272"/>
      <c r="I106" s="226"/>
      <c r="J106" s="151"/>
      <c r="K106" s="151"/>
      <c r="L106" s="151"/>
      <c r="M106" s="151"/>
      <c r="N106" s="167"/>
      <c r="O106" s="196">
        <f>SUM(O34:O105)</f>
        <v>7589.709999999999</v>
      </c>
      <c r="P106" s="152">
        <f>SUM(P34:P105)</f>
        <v>16697.36</v>
      </c>
      <c r="Q106" s="152">
        <f>SUM(Q34:Q105)</f>
        <v>22077.569503507126</v>
      </c>
      <c r="R106" s="152">
        <f>SUM(R34:R105)</f>
        <v>3404.6899999999996</v>
      </c>
      <c r="S106" s="273">
        <f>SUM(S34:S105)</f>
        <v>42179.61950350712</v>
      </c>
      <c r="T106" s="172">
        <f aca="true" t="shared" si="47" ref="T106:AI106">SUM(T34:T104)</f>
        <v>3324.44</v>
      </c>
      <c r="U106" s="88">
        <f t="shared" si="47"/>
        <v>1222.19</v>
      </c>
      <c r="V106" s="88">
        <f t="shared" si="47"/>
        <v>1015.1841</v>
      </c>
      <c r="W106" s="88">
        <f t="shared" si="47"/>
        <v>759.575</v>
      </c>
      <c r="X106" s="88">
        <f t="shared" si="47"/>
        <v>2996.9691</v>
      </c>
      <c r="Y106" s="88">
        <f t="shared" si="47"/>
        <v>36654.43000000001</v>
      </c>
      <c r="Z106" s="88">
        <f t="shared" si="47"/>
        <v>29201.7645</v>
      </c>
      <c r="AA106" s="88">
        <f t="shared" si="47"/>
        <v>9649.885903507127</v>
      </c>
      <c r="AB106" s="88">
        <f t="shared" si="47"/>
        <v>0</v>
      </c>
      <c r="AC106" s="88">
        <f t="shared" si="47"/>
        <v>0</v>
      </c>
      <c r="AD106" s="88">
        <f t="shared" si="47"/>
        <v>0</v>
      </c>
      <c r="AE106" s="88">
        <f t="shared" si="47"/>
        <v>0</v>
      </c>
      <c r="AF106" s="88">
        <f t="shared" si="47"/>
        <v>0</v>
      </c>
      <c r="AG106" s="88">
        <f t="shared" si="47"/>
        <v>0</v>
      </c>
      <c r="AH106" s="88">
        <f t="shared" si="47"/>
        <v>0</v>
      </c>
      <c r="AI106" s="397">
        <f t="shared" si="47"/>
        <v>0</v>
      </c>
      <c r="AJ106" s="27"/>
      <c r="AK106" s="27"/>
      <c r="AL106" s="19"/>
      <c r="AM106" s="19"/>
    </row>
    <row r="107" spans="1:39" s="16" customFormat="1" ht="99" customHeight="1">
      <c r="A107" s="33" t="s">
        <v>85</v>
      </c>
      <c r="B107" s="375" t="s">
        <v>265</v>
      </c>
      <c r="C107" s="109" t="s">
        <v>4</v>
      </c>
      <c r="D107" s="382">
        <v>210</v>
      </c>
      <c r="E107" s="221" t="s">
        <v>387</v>
      </c>
      <c r="F107" s="375" t="s">
        <v>265</v>
      </c>
      <c r="G107" s="109" t="s">
        <v>4</v>
      </c>
      <c r="H107" s="382">
        <v>210</v>
      </c>
      <c r="I107" s="220"/>
      <c r="J107" s="78"/>
      <c r="K107" s="78"/>
      <c r="L107" s="78"/>
      <c r="M107" s="78"/>
      <c r="N107" s="400"/>
      <c r="O107" s="220"/>
      <c r="P107" s="78"/>
      <c r="Q107" s="78"/>
      <c r="R107" s="78"/>
      <c r="S107" s="400"/>
      <c r="T107" s="388"/>
      <c r="U107" s="379"/>
      <c r="V107" s="379"/>
      <c r="W107" s="379"/>
      <c r="X107" s="379"/>
      <c r="Y107" s="379"/>
      <c r="Z107" s="379"/>
      <c r="AA107" s="379"/>
      <c r="AB107" s="373"/>
      <c r="AC107" s="373"/>
      <c r="AD107" s="373"/>
      <c r="AE107" s="373"/>
      <c r="AF107" s="373"/>
      <c r="AG107" s="373"/>
      <c r="AH107" s="373"/>
      <c r="AI107" s="373"/>
      <c r="AJ107" s="27"/>
      <c r="AK107" s="27"/>
      <c r="AL107" s="19"/>
      <c r="AM107" s="19"/>
    </row>
    <row r="108" spans="1:39" s="16" customFormat="1" ht="57.75" customHeight="1">
      <c r="A108" s="99" t="s">
        <v>54</v>
      </c>
      <c r="B108" s="32" t="s">
        <v>45</v>
      </c>
      <c r="C108" s="109" t="s">
        <v>453</v>
      </c>
      <c r="D108" s="230">
        <v>37</v>
      </c>
      <c r="E108" s="376" t="s">
        <v>388</v>
      </c>
      <c r="F108" s="32" t="s">
        <v>45</v>
      </c>
      <c r="G108" s="385" t="s">
        <v>453</v>
      </c>
      <c r="H108" s="383">
        <v>37</v>
      </c>
      <c r="I108" s="218">
        <v>0.9090909090909091</v>
      </c>
      <c r="J108" s="41">
        <v>2.2</v>
      </c>
      <c r="K108" s="34">
        <v>2</v>
      </c>
      <c r="L108" s="34"/>
      <c r="M108" s="34">
        <v>2.5</v>
      </c>
      <c r="N108" s="313">
        <v>4.5</v>
      </c>
      <c r="O108" s="216">
        <f>I108*H108</f>
        <v>33.63636363636363</v>
      </c>
      <c r="P108" s="41">
        <f>K108*H108</f>
        <v>74</v>
      </c>
      <c r="Q108" s="41">
        <f>L108*H108</f>
        <v>0</v>
      </c>
      <c r="R108" s="41">
        <f>M108*H108</f>
        <v>92.5</v>
      </c>
      <c r="S108" s="188">
        <f>R108+Q108+P108</f>
        <v>166.5</v>
      </c>
      <c r="T108" s="388"/>
      <c r="U108" s="379">
        <v>0</v>
      </c>
      <c r="V108" s="379">
        <v>0</v>
      </c>
      <c r="W108" s="379">
        <v>0</v>
      </c>
      <c r="X108" s="379">
        <v>0</v>
      </c>
      <c r="Y108" s="379"/>
      <c r="Z108" s="379">
        <v>0</v>
      </c>
      <c r="AA108" s="379">
        <v>166.5</v>
      </c>
      <c r="AB108" s="373"/>
      <c r="AC108" s="373"/>
      <c r="AD108" s="373"/>
      <c r="AE108" s="373"/>
      <c r="AF108" s="373"/>
      <c r="AG108" s="373"/>
      <c r="AH108" s="373"/>
      <c r="AI108" s="373"/>
      <c r="AJ108" s="27"/>
      <c r="AK108" s="27"/>
      <c r="AL108" s="19"/>
      <c r="AM108" s="19"/>
    </row>
    <row r="109" spans="1:39" s="16" customFormat="1" ht="33" customHeight="1">
      <c r="A109" s="73" t="s">
        <v>55</v>
      </c>
      <c r="B109" s="79" t="s">
        <v>303</v>
      </c>
      <c r="C109" s="109" t="s">
        <v>6</v>
      </c>
      <c r="D109" s="230">
        <v>37</v>
      </c>
      <c r="E109" s="377" t="s">
        <v>389</v>
      </c>
      <c r="F109" s="79" t="s">
        <v>303</v>
      </c>
      <c r="G109" s="385" t="s">
        <v>6</v>
      </c>
      <c r="H109" s="383">
        <v>37</v>
      </c>
      <c r="I109" s="218">
        <v>0.45454545454545453</v>
      </c>
      <c r="J109" s="41">
        <v>2.2</v>
      </c>
      <c r="K109" s="34">
        <v>1</v>
      </c>
      <c r="L109" s="34"/>
      <c r="M109" s="34">
        <v>3</v>
      </c>
      <c r="N109" s="313">
        <v>4</v>
      </c>
      <c r="O109" s="216">
        <f aca="true" t="shared" si="48" ref="O109:O132">I109*H109</f>
        <v>16.818181818181817</v>
      </c>
      <c r="P109" s="41">
        <f aca="true" t="shared" si="49" ref="P109:P132">K109*H109</f>
        <v>37</v>
      </c>
      <c r="Q109" s="41">
        <f aca="true" t="shared" si="50" ref="Q109:Q132">L109*H109</f>
        <v>0</v>
      </c>
      <c r="R109" s="41">
        <f aca="true" t="shared" si="51" ref="R109:R132">M109*H109</f>
        <v>111</v>
      </c>
      <c r="S109" s="188">
        <f aca="true" t="shared" si="52" ref="S109:S132">R109+Q109+P109</f>
        <v>148</v>
      </c>
      <c r="T109" s="388"/>
      <c r="U109" s="379">
        <v>0</v>
      </c>
      <c r="V109" s="379">
        <v>0</v>
      </c>
      <c r="W109" s="379">
        <v>0</v>
      </c>
      <c r="X109" s="379">
        <v>0</v>
      </c>
      <c r="Y109" s="379"/>
      <c r="Z109" s="379">
        <v>0</v>
      </c>
      <c r="AA109" s="379">
        <v>148</v>
      </c>
      <c r="AB109" s="373"/>
      <c r="AC109" s="373"/>
      <c r="AD109" s="373"/>
      <c r="AE109" s="373"/>
      <c r="AF109" s="373"/>
      <c r="AG109" s="373"/>
      <c r="AH109" s="373"/>
      <c r="AI109" s="373"/>
      <c r="AJ109" s="27"/>
      <c r="AK109" s="27"/>
      <c r="AL109" s="19"/>
      <c r="AM109" s="19"/>
    </row>
    <row r="110" spans="1:39" s="16" customFormat="1" ht="15.75" customHeight="1">
      <c r="A110" s="73" t="s">
        <v>56</v>
      </c>
      <c r="B110" s="79" t="s">
        <v>15</v>
      </c>
      <c r="C110" s="393" t="s">
        <v>4</v>
      </c>
      <c r="D110" s="394">
        <v>210</v>
      </c>
      <c r="E110" s="377" t="s">
        <v>390</v>
      </c>
      <c r="F110" s="79" t="s">
        <v>15</v>
      </c>
      <c r="G110" s="386" t="s">
        <v>4</v>
      </c>
      <c r="H110" s="384">
        <v>210</v>
      </c>
      <c r="I110" s="218">
        <v>0.022727272727272728</v>
      </c>
      <c r="J110" s="41">
        <v>2.2</v>
      </c>
      <c r="K110" s="34">
        <v>0.05</v>
      </c>
      <c r="L110" s="34"/>
      <c r="M110" s="34">
        <v>0.05</v>
      </c>
      <c r="N110" s="313">
        <v>0.1</v>
      </c>
      <c r="O110" s="216">
        <f t="shared" si="48"/>
        <v>4.7727272727272725</v>
      </c>
      <c r="P110" s="41">
        <f t="shared" si="49"/>
        <v>10.5</v>
      </c>
      <c r="Q110" s="41">
        <f t="shared" si="50"/>
        <v>0</v>
      </c>
      <c r="R110" s="41">
        <f t="shared" si="51"/>
        <v>10.5</v>
      </c>
      <c r="S110" s="188">
        <f t="shared" si="52"/>
        <v>21</v>
      </c>
      <c r="T110" s="388"/>
      <c r="U110" s="379">
        <v>0</v>
      </c>
      <c r="V110" s="379">
        <v>0</v>
      </c>
      <c r="W110" s="379">
        <v>0</v>
      </c>
      <c r="X110" s="379">
        <v>0</v>
      </c>
      <c r="Y110" s="379"/>
      <c r="Z110" s="379">
        <v>0</v>
      </c>
      <c r="AA110" s="379">
        <v>21</v>
      </c>
      <c r="AB110" s="373"/>
      <c r="AC110" s="373"/>
      <c r="AD110" s="373"/>
      <c r="AE110" s="373"/>
      <c r="AF110" s="373"/>
      <c r="AG110" s="373"/>
      <c r="AH110" s="373"/>
      <c r="AI110" s="373"/>
      <c r="AJ110" s="27"/>
      <c r="AK110" s="27"/>
      <c r="AL110" s="19"/>
      <c r="AM110" s="19"/>
    </row>
    <row r="111" spans="1:39" s="16" customFormat="1" ht="47.25" customHeight="1">
      <c r="A111" s="73" t="s">
        <v>57</v>
      </c>
      <c r="B111" s="32" t="s">
        <v>298</v>
      </c>
      <c r="C111" s="107" t="s">
        <v>4</v>
      </c>
      <c r="D111" s="229">
        <v>210</v>
      </c>
      <c r="E111" s="377" t="s">
        <v>391</v>
      </c>
      <c r="F111" s="32" t="s">
        <v>298</v>
      </c>
      <c r="G111" s="193" t="s">
        <v>4</v>
      </c>
      <c r="H111" s="384">
        <v>210</v>
      </c>
      <c r="I111" s="218">
        <v>1</v>
      </c>
      <c r="J111" s="41">
        <v>2.2</v>
      </c>
      <c r="K111" s="34">
        <v>2.2</v>
      </c>
      <c r="L111" s="34">
        <v>2.5</v>
      </c>
      <c r="M111" s="34">
        <v>0.05</v>
      </c>
      <c r="N111" s="313">
        <v>4.75</v>
      </c>
      <c r="O111" s="216">
        <f t="shared" si="48"/>
        <v>210</v>
      </c>
      <c r="P111" s="41">
        <f t="shared" si="49"/>
        <v>462.00000000000006</v>
      </c>
      <c r="Q111" s="41">
        <f t="shared" si="50"/>
        <v>525</v>
      </c>
      <c r="R111" s="41">
        <f t="shared" si="51"/>
        <v>10.5</v>
      </c>
      <c r="S111" s="188">
        <f t="shared" si="52"/>
        <v>997.5</v>
      </c>
      <c r="T111" s="388"/>
      <c r="U111" s="379">
        <v>0</v>
      </c>
      <c r="V111" s="379">
        <v>0</v>
      </c>
      <c r="W111" s="379">
        <v>0</v>
      </c>
      <c r="X111" s="379">
        <v>0</v>
      </c>
      <c r="Y111" s="379"/>
      <c r="Z111" s="379">
        <v>0</v>
      </c>
      <c r="AA111" s="379">
        <v>997.5</v>
      </c>
      <c r="AB111" s="373"/>
      <c r="AC111" s="373"/>
      <c r="AD111" s="373"/>
      <c r="AE111" s="373"/>
      <c r="AF111" s="373"/>
      <c r="AG111" s="373"/>
      <c r="AH111" s="373"/>
      <c r="AI111" s="373"/>
      <c r="AJ111" s="27"/>
      <c r="AK111" s="27"/>
      <c r="AL111" s="19"/>
      <c r="AM111" s="19"/>
    </row>
    <row r="112" spans="1:39" s="16" customFormat="1" ht="43.5" customHeight="1">
      <c r="A112" s="73" t="s">
        <v>80</v>
      </c>
      <c r="B112" s="79" t="s">
        <v>32</v>
      </c>
      <c r="C112" s="107" t="s">
        <v>4</v>
      </c>
      <c r="D112" s="229">
        <v>210</v>
      </c>
      <c r="E112" s="377" t="s">
        <v>392</v>
      </c>
      <c r="F112" s="79" t="s">
        <v>32</v>
      </c>
      <c r="G112" s="193" t="s">
        <v>4</v>
      </c>
      <c r="H112" s="384">
        <v>210</v>
      </c>
      <c r="I112" s="218">
        <v>0.9090909090909091</v>
      </c>
      <c r="J112" s="41">
        <v>2.2</v>
      </c>
      <c r="K112" s="34">
        <v>2</v>
      </c>
      <c r="L112" s="34"/>
      <c r="M112" s="34">
        <v>0.1</v>
      </c>
      <c r="N112" s="313">
        <v>2.1</v>
      </c>
      <c r="O112" s="216">
        <f t="shared" si="48"/>
        <v>190.9090909090909</v>
      </c>
      <c r="P112" s="41">
        <f t="shared" si="49"/>
        <v>420</v>
      </c>
      <c r="Q112" s="41">
        <f t="shared" si="50"/>
        <v>0</v>
      </c>
      <c r="R112" s="41">
        <f t="shared" si="51"/>
        <v>21</v>
      </c>
      <c r="S112" s="188">
        <f t="shared" si="52"/>
        <v>441</v>
      </c>
      <c r="T112" s="388"/>
      <c r="U112" s="379">
        <v>0</v>
      </c>
      <c r="V112" s="379">
        <v>0</v>
      </c>
      <c r="W112" s="379">
        <v>0</v>
      </c>
      <c r="X112" s="379">
        <v>0</v>
      </c>
      <c r="Y112" s="379"/>
      <c r="Z112" s="379">
        <v>0</v>
      </c>
      <c r="AA112" s="379">
        <v>441</v>
      </c>
      <c r="AB112" s="373"/>
      <c r="AC112" s="373"/>
      <c r="AD112" s="373"/>
      <c r="AE112" s="373"/>
      <c r="AF112" s="373"/>
      <c r="AG112" s="373"/>
      <c r="AH112" s="373"/>
      <c r="AI112" s="373"/>
      <c r="AJ112" s="27"/>
      <c r="AK112" s="27"/>
      <c r="AL112" s="19"/>
      <c r="AM112" s="19"/>
    </row>
    <row r="113" spans="1:39" s="16" customFormat="1" ht="30" customHeight="1">
      <c r="A113" s="73"/>
      <c r="B113" s="39" t="s">
        <v>454</v>
      </c>
      <c r="C113" s="107" t="s">
        <v>4</v>
      </c>
      <c r="D113" s="229">
        <v>220.5</v>
      </c>
      <c r="E113" s="377"/>
      <c r="F113" s="39" t="s">
        <v>454</v>
      </c>
      <c r="G113" s="193" t="s">
        <v>4</v>
      </c>
      <c r="H113" s="384">
        <v>220.5</v>
      </c>
      <c r="I113" s="218"/>
      <c r="J113" s="34"/>
      <c r="K113" s="34"/>
      <c r="L113" s="34">
        <v>3.9</v>
      </c>
      <c r="M113" s="34"/>
      <c r="N113" s="313">
        <v>3.9</v>
      </c>
      <c r="O113" s="216">
        <f t="shared" si="48"/>
        <v>0</v>
      </c>
      <c r="P113" s="41">
        <f t="shared" si="49"/>
        <v>0</v>
      </c>
      <c r="Q113" s="41">
        <f t="shared" si="50"/>
        <v>859.9499999999999</v>
      </c>
      <c r="R113" s="41">
        <f t="shared" si="51"/>
        <v>0</v>
      </c>
      <c r="S113" s="188">
        <f t="shared" si="52"/>
        <v>859.9499999999999</v>
      </c>
      <c r="T113" s="388"/>
      <c r="U113" s="379">
        <v>0</v>
      </c>
      <c r="V113" s="379">
        <v>0</v>
      </c>
      <c r="W113" s="379">
        <v>0</v>
      </c>
      <c r="X113" s="379">
        <v>0</v>
      </c>
      <c r="Y113" s="379"/>
      <c r="Z113" s="379">
        <v>0</v>
      </c>
      <c r="AA113" s="379">
        <v>859.9499999999999</v>
      </c>
      <c r="AB113" s="373"/>
      <c r="AC113" s="373"/>
      <c r="AD113" s="373"/>
      <c r="AE113" s="373"/>
      <c r="AF113" s="373"/>
      <c r="AG113" s="373"/>
      <c r="AH113" s="373"/>
      <c r="AI113" s="373"/>
      <c r="AJ113" s="27"/>
      <c r="AK113" s="27"/>
      <c r="AL113" s="19"/>
      <c r="AM113" s="19"/>
    </row>
    <row r="114" spans="1:39" s="16" customFormat="1" ht="14.25" customHeight="1">
      <c r="A114" s="73"/>
      <c r="B114" s="39" t="s">
        <v>108</v>
      </c>
      <c r="C114" s="107" t="s">
        <v>17</v>
      </c>
      <c r="D114" s="240">
        <v>840</v>
      </c>
      <c r="E114" s="73"/>
      <c r="F114" s="39" t="s">
        <v>108</v>
      </c>
      <c r="G114" s="193" t="s">
        <v>17</v>
      </c>
      <c r="H114" s="384">
        <v>840</v>
      </c>
      <c r="I114" s="216"/>
      <c r="J114" s="41"/>
      <c r="K114" s="41"/>
      <c r="L114" s="41">
        <v>0.11</v>
      </c>
      <c r="M114" s="41"/>
      <c r="N114" s="313">
        <v>0.11</v>
      </c>
      <c r="O114" s="216">
        <f t="shared" si="48"/>
        <v>0</v>
      </c>
      <c r="P114" s="41">
        <f t="shared" si="49"/>
        <v>0</v>
      </c>
      <c r="Q114" s="41">
        <f t="shared" si="50"/>
        <v>92.4</v>
      </c>
      <c r="R114" s="41">
        <f t="shared" si="51"/>
        <v>0</v>
      </c>
      <c r="S114" s="188">
        <f t="shared" si="52"/>
        <v>92.4</v>
      </c>
      <c r="T114" s="388"/>
      <c r="U114" s="379">
        <v>0</v>
      </c>
      <c r="V114" s="379">
        <v>0</v>
      </c>
      <c r="W114" s="379">
        <v>0</v>
      </c>
      <c r="X114" s="379">
        <v>0</v>
      </c>
      <c r="Y114" s="379"/>
      <c r="Z114" s="379">
        <v>0</v>
      </c>
      <c r="AA114" s="379">
        <v>92.4</v>
      </c>
      <c r="AB114" s="373"/>
      <c r="AC114" s="373"/>
      <c r="AD114" s="373"/>
      <c r="AE114" s="373"/>
      <c r="AF114" s="373"/>
      <c r="AG114" s="373"/>
      <c r="AH114" s="373"/>
      <c r="AI114" s="373"/>
      <c r="AJ114" s="27"/>
      <c r="AK114" s="27"/>
      <c r="AL114" s="19"/>
      <c r="AM114" s="19"/>
    </row>
    <row r="115" spans="1:39" s="16" customFormat="1" ht="14.25" customHeight="1">
      <c r="A115" s="73"/>
      <c r="B115" s="35" t="s">
        <v>444</v>
      </c>
      <c r="C115" s="199" t="s">
        <v>8</v>
      </c>
      <c r="D115" s="434">
        <v>1260</v>
      </c>
      <c r="E115" s="73"/>
      <c r="F115" s="35" t="s">
        <v>444</v>
      </c>
      <c r="G115" s="387" t="s">
        <v>8</v>
      </c>
      <c r="H115" s="384">
        <v>1260</v>
      </c>
      <c r="I115" s="216"/>
      <c r="J115" s="41"/>
      <c r="K115" s="41"/>
      <c r="L115" s="41">
        <v>0.1</v>
      </c>
      <c r="M115" s="41"/>
      <c r="N115" s="313">
        <v>0.1</v>
      </c>
      <c r="O115" s="216">
        <f t="shared" si="48"/>
        <v>0</v>
      </c>
      <c r="P115" s="41">
        <f t="shared" si="49"/>
        <v>0</v>
      </c>
      <c r="Q115" s="41">
        <f t="shared" si="50"/>
        <v>126</v>
      </c>
      <c r="R115" s="41">
        <f t="shared" si="51"/>
        <v>0</v>
      </c>
      <c r="S115" s="188">
        <f t="shared" si="52"/>
        <v>126</v>
      </c>
      <c r="T115" s="388"/>
      <c r="U115" s="379">
        <v>0</v>
      </c>
      <c r="V115" s="379">
        <v>0</v>
      </c>
      <c r="W115" s="379">
        <v>0</v>
      </c>
      <c r="X115" s="379">
        <v>0</v>
      </c>
      <c r="Y115" s="379"/>
      <c r="Z115" s="379">
        <v>0</v>
      </c>
      <c r="AA115" s="379">
        <v>126</v>
      </c>
      <c r="AB115" s="373"/>
      <c r="AC115" s="373"/>
      <c r="AD115" s="373"/>
      <c r="AE115" s="373"/>
      <c r="AF115" s="373"/>
      <c r="AG115" s="373"/>
      <c r="AH115" s="373"/>
      <c r="AI115" s="373"/>
      <c r="AJ115" s="27"/>
      <c r="AK115" s="27"/>
      <c r="AL115" s="19"/>
      <c r="AM115" s="19"/>
    </row>
    <row r="116" spans="1:39" s="16" customFormat="1" ht="14.25" customHeight="1">
      <c r="A116" s="73" t="s">
        <v>86</v>
      </c>
      <c r="B116" s="37" t="s">
        <v>48</v>
      </c>
      <c r="C116" s="387" t="s">
        <v>4</v>
      </c>
      <c r="D116" s="435">
        <v>210</v>
      </c>
      <c r="E116" s="73" t="s">
        <v>86</v>
      </c>
      <c r="F116" s="37" t="s">
        <v>48</v>
      </c>
      <c r="G116" s="387" t="s">
        <v>4</v>
      </c>
      <c r="H116" s="384">
        <v>210</v>
      </c>
      <c r="I116" s="218">
        <v>0.3409090909090909</v>
      </c>
      <c r="J116" s="41">
        <v>2.2</v>
      </c>
      <c r="K116" s="34">
        <v>0.75</v>
      </c>
      <c r="L116" s="34">
        <v>1.335</v>
      </c>
      <c r="M116" s="34">
        <v>0.05</v>
      </c>
      <c r="N116" s="313">
        <v>2.135</v>
      </c>
      <c r="O116" s="216">
        <f t="shared" si="48"/>
        <v>71.59090909090908</v>
      </c>
      <c r="P116" s="41">
        <f t="shared" si="49"/>
        <v>157.5</v>
      </c>
      <c r="Q116" s="41">
        <f t="shared" si="50"/>
        <v>280.34999999999997</v>
      </c>
      <c r="R116" s="41">
        <f t="shared" si="51"/>
        <v>10.5</v>
      </c>
      <c r="S116" s="188">
        <f t="shared" si="52"/>
        <v>448.34999999999997</v>
      </c>
      <c r="T116" s="388"/>
      <c r="U116" s="379">
        <v>0</v>
      </c>
      <c r="V116" s="379">
        <v>0</v>
      </c>
      <c r="W116" s="379">
        <v>0</v>
      </c>
      <c r="X116" s="379">
        <v>0</v>
      </c>
      <c r="Y116" s="379"/>
      <c r="Z116" s="379">
        <v>0</v>
      </c>
      <c r="AA116" s="379">
        <v>448.34999999999997</v>
      </c>
      <c r="AB116" s="373"/>
      <c r="AC116" s="373"/>
      <c r="AD116" s="373"/>
      <c r="AE116" s="373"/>
      <c r="AF116" s="373"/>
      <c r="AG116" s="373"/>
      <c r="AH116" s="373"/>
      <c r="AI116" s="373"/>
      <c r="AJ116" s="27"/>
      <c r="AK116" s="27"/>
      <c r="AL116" s="19"/>
      <c r="AM116" s="19"/>
    </row>
    <row r="117" spans="1:39" s="16" customFormat="1" ht="14.25" customHeight="1">
      <c r="A117" s="73" t="s">
        <v>87</v>
      </c>
      <c r="B117" s="42" t="s">
        <v>194</v>
      </c>
      <c r="C117" s="387" t="s">
        <v>4</v>
      </c>
      <c r="D117" s="174">
        <v>105</v>
      </c>
      <c r="E117" s="73" t="s">
        <v>87</v>
      </c>
      <c r="F117" s="42" t="s">
        <v>194</v>
      </c>
      <c r="G117" s="387" t="s">
        <v>4</v>
      </c>
      <c r="H117" s="384">
        <v>105</v>
      </c>
      <c r="I117" s="218">
        <v>0.5454545454545454</v>
      </c>
      <c r="J117" s="41">
        <v>2.2</v>
      </c>
      <c r="K117" s="34">
        <v>1.2</v>
      </c>
      <c r="L117" s="41"/>
      <c r="M117" s="41">
        <v>0.2</v>
      </c>
      <c r="N117" s="313">
        <v>1.4</v>
      </c>
      <c r="O117" s="216">
        <f t="shared" si="48"/>
        <v>57.272727272727266</v>
      </c>
      <c r="P117" s="41">
        <f t="shared" si="49"/>
        <v>126</v>
      </c>
      <c r="Q117" s="41">
        <f t="shared" si="50"/>
        <v>0</v>
      </c>
      <c r="R117" s="41">
        <f t="shared" si="51"/>
        <v>21</v>
      </c>
      <c r="S117" s="188">
        <f t="shared" si="52"/>
        <v>147</v>
      </c>
      <c r="T117" s="388"/>
      <c r="U117" s="379">
        <v>0</v>
      </c>
      <c r="V117" s="379">
        <v>0</v>
      </c>
      <c r="W117" s="379">
        <v>0</v>
      </c>
      <c r="X117" s="379">
        <v>0</v>
      </c>
      <c r="Y117" s="379"/>
      <c r="Z117" s="379">
        <v>0</v>
      </c>
      <c r="AA117" s="379">
        <v>147</v>
      </c>
      <c r="AB117" s="373"/>
      <c r="AC117" s="373"/>
      <c r="AD117" s="373"/>
      <c r="AE117" s="373"/>
      <c r="AF117" s="373"/>
      <c r="AG117" s="373"/>
      <c r="AH117" s="373"/>
      <c r="AI117" s="373"/>
      <c r="AJ117" s="27"/>
      <c r="AK117" s="27"/>
      <c r="AL117" s="19"/>
      <c r="AM117" s="19"/>
    </row>
    <row r="118" spans="1:39" s="16" customFormat="1" ht="14.25" customHeight="1">
      <c r="A118" s="73"/>
      <c r="B118" s="35" t="s">
        <v>445</v>
      </c>
      <c r="C118" s="387" t="s">
        <v>4</v>
      </c>
      <c r="D118" s="174">
        <v>115.50000000000001</v>
      </c>
      <c r="E118" s="73"/>
      <c r="F118" s="35" t="s">
        <v>445</v>
      </c>
      <c r="G118" s="387" t="s">
        <v>4</v>
      </c>
      <c r="H118" s="384">
        <v>115.5</v>
      </c>
      <c r="I118" s="216"/>
      <c r="J118" s="41"/>
      <c r="K118" s="41"/>
      <c r="L118" s="41">
        <v>0.31</v>
      </c>
      <c r="M118" s="41"/>
      <c r="N118" s="313">
        <v>0.31</v>
      </c>
      <c r="O118" s="216">
        <f t="shared" si="48"/>
        <v>0</v>
      </c>
      <c r="P118" s="41">
        <f t="shared" si="49"/>
        <v>0</v>
      </c>
      <c r="Q118" s="41">
        <f t="shared" si="50"/>
        <v>35.805</v>
      </c>
      <c r="R118" s="41">
        <f t="shared" si="51"/>
        <v>0</v>
      </c>
      <c r="S118" s="188">
        <f t="shared" si="52"/>
        <v>35.805</v>
      </c>
      <c r="T118" s="379"/>
      <c r="U118" s="379">
        <v>0</v>
      </c>
      <c r="V118" s="379">
        <v>0</v>
      </c>
      <c r="W118" s="379">
        <v>0</v>
      </c>
      <c r="X118" s="379">
        <v>0</v>
      </c>
      <c r="Y118" s="379"/>
      <c r="Z118" s="379">
        <v>0</v>
      </c>
      <c r="AA118" s="379">
        <v>35.805</v>
      </c>
      <c r="AB118" s="373"/>
      <c r="AC118" s="373"/>
      <c r="AD118" s="373"/>
      <c r="AE118" s="373"/>
      <c r="AF118" s="373"/>
      <c r="AG118" s="373"/>
      <c r="AH118" s="373"/>
      <c r="AI118" s="373"/>
      <c r="AJ118" s="389"/>
      <c r="AK118" s="27"/>
      <c r="AL118" s="19"/>
      <c r="AM118" s="19"/>
    </row>
    <row r="119" spans="1:39" s="16" customFormat="1" ht="14.25" customHeight="1">
      <c r="A119" s="99"/>
      <c r="B119" s="35" t="s">
        <v>16</v>
      </c>
      <c r="C119" s="387" t="s">
        <v>17</v>
      </c>
      <c r="D119" s="174">
        <v>525</v>
      </c>
      <c r="E119" s="99"/>
      <c r="F119" s="35" t="s">
        <v>16</v>
      </c>
      <c r="G119" s="387" t="s">
        <v>17</v>
      </c>
      <c r="H119" s="384">
        <v>525</v>
      </c>
      <c r="I119" s="216"/>
      <c r="J119" s="41"/>
      <c r="K119" s="41"/>
      <c r="L119" s="41">
        <v>0.11</v>
      </c>
      <c r="M119" s="41"/>
      <c r="N119" s="313">
        <v>0.11</v>
      </c>
      <c r="O119" s="216">
        <f t="shared" si="48"/>
        <v>0</v>
      </c>
      <c r="P119" s="41">
        <f t="shared" si="49"/>
        <v>0</v>
      </c>
      <c r="Q119" s="41">
        <f t="shared" si="50"/>
        <v>57.75</v>
      </c>
      <c r="R119" s="41">
        <f t="shared" si="51"/>
        <v>0</v>
      </c>
      <c r="S119" s="188">
        <f t="shared" si="52"/>
        <v>57.75</v>
      </c>
      <c r="T119" s="379"/>
      <c r="U119" s="379">
        <v>0</v>
      </c>
      <c r="V119" s="379">
        <v>0</v>
      </c>
      <c r="W119" s="379">
        <v>0</v>
      </c>
      <c r="X119" s="379">
        <v>0</v>
      </c>
      <c r="Y119" s="379"/>
      <c r="Z119" s="379">
        <v>0</v>
      </c>
      <c r="AA119" s="379">
        <v>57.75</v>
      </c>
      <c r="AB119" s="373"/>
      <c r="AC119" s="373"/>
      <c r="AD119" s="373"/>
      <c r="AE119" s="373"/>
      <c r="AF119" s="373"/>
      <c r="AG119" s="373"/>
      <c r="AH119" s="373"/>
      <c r="AI119" s="373"/>
      <c r="AJ119" s="389"/>
      <c r="AK119" s="27"/>
      <c r="AL119" s="19"/>
      <c r="AM119" s="19"/>
    </row>
    <row r="120" spans="1:39" s="16" customFormat="1" ht="14.25" customHeight="1">
      <c r="A120" s="73"/>
      <c r="B120" s="35" t="s">
        <v>125</v>
      </c>
      <c r="C120" s="387" t="s">
        <v>4</v>
      </c>
      <c r="D120" s="174">
        <v>105</v>
      </c>
      <c r="E120" s="73"/>
      <c r="F120" s="35" t="s">
        <v>125</v>
      </c>
      <c r="G120" s="387" t="s">
        <v>4</v>
      </c>
      <c r="H120" s="384">
        <v>105</v>
      </c>
      <c r="I120" s="216"/>
      <c r="J120" s="41"/>
      <c r="K120" s="41"/>
      <c r="L120" s="41">
        <v>0.2</v>
      </c>
      <c r="M120" s="41"/>
      <c r="N120" s="313">
        <v>0.2</v>
      </c>
      <c r="O120" s="216">
        <f t="shared" si="48"/>
        <v>0</v>
      </c>
      <c r="P120" s="41">
        <f t="shared" si="49"/>
        <v>0</v>
      </c>
      <c r="Q120" s="41">
        <f t="shared" si="50"/>
        <v>21</v>
      </c>
      <c r="R120" s="41">
        <f t="shared" si="51"/>
        <v>0</v>
      </c>
      <c r="S120" s="188">
        <f t="shared" si="52"/>
        <v>21</v>
      </c>
      <c r="T120" s="379"/>
      <c r="U120" s="379">
        <v>0</v>
      </c>
      <c r="V120" s="379">
        <v>0</v>
      </c>
      <c r="W120" s="379">
        <v>0</v>
      </c>
      <c r="X120" s="379">
        <v>0</v>
      </c>
      <c r="Y120" s="379"/>
      <c r="Z120" s="379">
        <v>0</v>
      </c>
      <c r="AA120" s="379">
        <v>21</v>
      </c>
      <c r="AB120" s="373"/>
      <c r="AC120" s="373"/>
      <c r="AD120" s="373"/>
      <c r="AE120" s="373"/>
      <c r="AF120" s="373"/>
      <c r="AG120" s="373"/>
      <c r="AH120" s="373"/>
      <c r="AI120" s="373"/>
      <c r="AJ120" s="389"/>
      <c r="AK120" s="27"/>
      <c r="AL120" s="19"/>
      <c r="AM120" s="19"/>
    </row>
    <row r="121" spans="1:39" s="16" customFormat="1" ht="14.25" customHeight="1">
      <c r="A121" s="70" t="s">
        <v>88</v>
      </c>
      <c r="B121" s="42" t="s">
        <v>195</v>
      </c>
      <c r="C121" s="387" t="s">
        <v>4</v>
      </c>
      <c r="D121" s="174">
        <v>105</v>
      </c>
      <c r="E121" s="70" t="s">
        <v>88</v>
      </c>
      <c r="F121" s="42" t="s">
        <v>195</v>
      </c>
      <c r="G121" s="387" t="s">
        <v>4</v>
      </c>
      <c r="H121" s="384">
        <v>105</v>
      </c>
      <c r="I121" s="218">
        <v>0.9090909090909091</v>
      </c>
      <c r="J121" s="41">
        <v>2.2</v>
      </c>
      <c r="K121" s="41">
        <v>2</v>
      </c>
      <c r="L121" s="41"/>
      <c r="M121" s="41">
        <v>0.1</v>
      </c>
      <c r="N121" s="313">
        <v>2.1</v>
      </c>
      <c r="O121" s="216">
        <f t="shared" si="48"/>
        <v>95.45454545454545</v>
      </c>
      <c r="P121" s="41">
        <f t="shared" si="49"/>
        <v>210</v>
      </c>
      <c r="Q121" s="41">
        <f t="shared" si="50"/>
        <v>0</v>
      </c>
      <c r="R121" s="41">
        <f t="shared" si="51"/>
        <v>10.5</v>
      </c>
      <c r="S121" s="188">
        <f t="shared" si="52"/>
        <v>220.5</v>
      </c>
      <c r="T121" s="379"/>
      <c r="U121" s="379">
        <v>0</v>
      </c>
      <c r="V121" s="379">
        <v>0</v>
      </c>
      <c r="W121" s="379">
        <v>0</v>
      </c>
      <c r="X121" s="379">
        <v>0</v>
      </c>
      <c r="Y121" s="379"/>
      <c r="Z121" s="379">
        <v>0</v>
      </c>
      <c r="AA121" s="379">
        <v>220.5</v>
      </c>
      <c r="AB121" s="373"/>
      <c r="AC121" s="373"/>
      <c r="AD121" s="373"/>
      <c r="AE121" s="373"/>
      <c r="AF121" s="373"/>
      <c r="AG121" s="373"/>
      <c r="AH121" s="373"/>
      <c r="AI121" s="373"/>
      <c r="AJ121" s="389"/>
      <c r="AK121" s="27"/>
      <c r="AL121" s="19"/>
      <c r="AM121" s="19"/>
    </row>
    <row r="122" spans="1:39" s="16" customFormat="1" ht="14.25" customHeight="1">
      <c r="A122" s="70"/>
      <c r="B122" s="35" t="s">
        <v>446</v>
      </c>
      <c r="C122" s="387" t="s">
        <v>24</v>
      </c>
      <c r="D122" s="174">
        <v>31.5</v>
      </c>
      <c r="E122" s="70"/>
      <c r="F122" s="35" t="s">
        <v>446</v>
      </c>
      <c r="G122" s="387" t="s">
        <v>24</v>
      </c>
      <c r="H122" s="384">
        <v>31.5</v>
      </c>
      <c r="I122" s="216"/>
      <c r="J122" s="41"/>
      <c r="K122" s="41"/>
      <c r="L122" s="41">
        <v>0.69</v>
      </c>
      <c r="M122" s="41"/>
      <c r="N122" s="313">
        <v>0.69</v>
      </c>
      <c r="O122" s="216">
        <f t="shared" si="48"/>
        <v>0</v>
      </c>
      <c r="P122" s="41">
        <f t="shared" si="49"/>
        <v>0</v>
      </c>
      <c r="Q122" s="41">
        <f t="shared" si="50"/>
        <v>21.735</v>
      </c>
      <c r="R122" s="41">
        <f t="shared" si="51"/>
        <v>0</v>
      </c>
      <c r="S122" s="188">
        <f t="shared" si="52"/>
        <v>21.735</v>
      </c>
      <c r="T122" s="379"/>
      <c r="U122" s="379">
        <v>0</v>
      </c>
      <c r="V122" s="379">
        <v>0</v>
      </c>
      <c r="W122" s="379">
        <v>0</v>
      </c>
      <c r="X122" s="379">
        <v>0</v>
      </c>
      <c r="Y122" s="379"/>
      <c r="Z122" s="379">
        <v>0</v>
      </c>
      <c r="AA122" s="379">
        <v>21.735</v>
      </c>
      <c r="AB122" s="373"/>
      <c r="AC122" s="373"/>
      <c r="AD122" s="373"/>
      <c r="AE122" s="373"/>
      <c r="AF122" s="373"/>
      <c r="AG122" s="373"/>
      <c r="AH122" s="373"/>
      <c r="AI122" s="373"/>
      <c r="AJ122" s="389"/>
      <c r="AK122" s="27"/>
      <c r="AL122" s="19"/>
      <c r="AM122" s="19"/>
    </row>
    <row r="123" spans="1:36" s="16" customFormat="1" ht="14.25" customHeight="1">
      <c r="A123" s="70"/>
      <c r="B123" s="38" t="s">
        <v>447</v>
      </c>
      <c r="C123" s="387" t="s">
        <v>17</v>
      </c>
      <c r="D123" s="174">
        <v>472.5</v>
      </c>
      <c r="E123" s="70"/>
      <c r="F123" s="38" t="s">
        <v>447</v>
      </c>
      <c r="G123" s="387" t="s">
        <v>17</v>
      </c>
      <c r="H123" s="384">
        <v>472.5</v>
      </c>
      <c r="I123" s="216"/>
      <c r="J123" s="41"/>
      <c r="K123" s="41"/>
      <c r="L123" s="41">
        <v>0.2</v>
      </c>
      <c r="M123" s="41"/>
      <c r="N123" s="313">
        <v>0.2</v>
      </c>
      <c r="O123" s="216">
        <f t="shared" si="48"/>
        <v>0</v>
      </c>
      <c r="P123" s="41">
        <f t="shared" si="49"/>
        <v>0</v>
      </c>
      <c r="Q123" s="41">
        <f t="shared" si="50"/>
        <v>94.5</v>
      </c>
      <c r="R123" s="41">
        <f t="shared" si="51"/>
        <v>0</v>
      </c>
      <c r="S123" s="188">
        <f t="shared" si="52"/>
        <v>94.5</v>
      </c>
      <c r="T123" s="379"/>
      <c r="U123" s="379">
        <v>0</v>
      </c>
      <c r="V123" s="379">
        <v>0</v>
      </c>
      <c r="W123" s="379">
        <v>0</v>
      </c>
      <c r="X123" s="379">
        <v>0</v>
      </c>
      <c r="Y123" s="379"/>
      <c r="Z123" s="379">
        <v>0</v>
      </c>
      <c r="AA123" s="379">
        <v>94.5</v>
      </c>
      <c r="AJ123" s="390"/>
    </row>
    <row r="124" spans="1:36" s="16" customFormat="1" ht="14.25" customHeight="1">
      <c r="A124" s="374"/>
      <c r="B124" s="35" t="s">
        <v>166</v>
      </c>
      <c r="C124" s="387" t="s">
        <v>24</v>
      </c>
      <c r="D124" s="174">
        <v>21</v>
      </c>
      <c r="E124" s="374"/>
      <c r="F124" s="35" t="s">
        <v>166</v>
      </c>
      <c r="G124" s="387" t="s">
        <v>24</v>
      </c>
      <c r="H124" s="384">
        <v>21</v>
      </c>
      <c r="I124" s="216"/>
      <c r="J124" s="41"/>
      <c r="K124" s="41"/>
      <c r="L124" s="34">
        <v>2.45</v>
      </c>
      <c r="M124" s="41"/>
      <c r="N124" s="313">
        <v>2.45</v>
      </c>
      <c r="O124" s="216">
        <f t="shared" si="48"/>
        <v>0</v>
      </c>
      <c r="P124" s="41">
        <f t="shared" si="49"/>
        <v>0</v>
      </c>
      <c r="Q124" s="41">
        <f t="shared" si="50"/>
        <v>51.45</v>
      </c>
      <c r="R124" s="41">
        <f t="shared" si="51"/>
        <v>0</v>
      </c>
      <c r="S124" s="188">
        <f t="shared" si="52"/>
        <v>51.45</v>
      </c>
      <c r="T124" s="379"/>
      <c r="U124" s="379">
        <v>0</v>
      </c>
      <c r="V124" s="379">
        <v>0</v>
      </c>
      <c r="W124" s="379">
        <v>0</v>
      </c>
      <c r="X124" s="379">
        <v>0</v>
      </c>
      <c r="Y124" s="379"/>
      <c r="Z124" s="379">
        <v>0</v>
      </c>
      <c r="AA124" s="379">
        <v>51.45</v>
      </c>
      <c r="AJ124" s="390"/>
    </row>
    <row r="125" spans="1:36" s="16" customFormat="1" ht="14.25" customHeight="1">
      <c r="A125" s="70"/>
      <c r="B125" s="35" t="s">
        <v>167</v>
      </c>
      <c r="C125" s="387" t="s">
        <v>17</v>
      </c>
      <c r="D125" s="174">
        <v>26.25</v>
      </c>
      <c r="E125" s="70"/>
      <c r="F125" s="35" t="s">
        <v>167</v>
      </c>
      <c r="G125" s="387" t="s">
        <v>17</v>
      </c>
      <c r="H125" s="384">
        <v>26.25</v>
      </c>
      <c r="I125" s="216"/>
      <c r="J125" s="41"/>
      <c r="K125" s="41"/>
      <c r="L125" s="34">
        <v>2.55</v>
      </c>
      <c r="M125" s="41"/>
      <c r="N125" s="313">
        <v>2.55</v>
      </c>
      <c r="O125" s="216">
        <f t="shared" si="48"/>
        <v>0</v>
      </c>
      <c r="P125" s="41">
        <f t="shared" si="49"/>
        <v>0</v>
      </c>
      <c r="Q125" s="41">
        <f t="shared" si="50"/>
        <v>66.9375</v>
      </c>
      <c r="R125" s="41">
        <f t="shared" si="51"/>
        <v>0</v>
      </c>
      <c r="S125" s="188">
        <f t="shared" si="52"/>
        <v>66.9375</v>
      </c>
      <c r="T125" s="379"/>
      <c r="U125" s="379">
        <v>0</v>
      </c>
      <c r="V125" s="379">
        <v>0</v>
      </c>
      <c r="W125" s="379">
        <v>0</v>
      </c>
      <c r="X125" s="379">
        <v>0</v>
      </c>
      <c r="Y125" s="379"/>
      <c r="Z125" s="379">
        <v>0</v>
      </c>
      <c r="AA125" s="379">
        <v>66.9375</v>
      </c>
      <c r="AJ125" s="390"/>
    </row>
    <row r="126" spans="1:36" s="16" customFormat="1" ht="14.25" customHeight="1">
      <c r="A126" s="70"/>
      <c r="B126" s="35" t="s">
        <v>176</v>
      </c>
      <c r="C126" s="387" t="s">
        <v>4</v>
      </c>
      <c r="D126" s="174">
        <v>105</v>
      </c>
      <c r="E126" s="70"/>
      <c r="F126" s="35" t="s">
        <v>176</v>
      </c>
      <c r="G126" s="387" t="s">
        <v>4</v>
      </c>
      <c r="H126" s="384">
        <v>105</v>
      </c>
      <c r="I126" s="216"/>
      <c r="J126" s="41"/>
      <c r="K126" s="41"/>
      <c r="L126" s="41">
        <v>0.2</v>
      </c>
      <c r="M126" s="41"/>
      <c r="N126" s="313">
        <v>0.2</v>
      </c>
      <c r="O126" s="216">
        <f t="shared" si="48"/>
        <v>0</v>
      </c>
      <c r="P126" s="41">
        <f t="shared" si="49"/>
        <v>0</v>
      </c>
      <c r="Q126" s="41">
        <f t="shared" si="50"/>
        <v>21</v>
      </c>
      <c r="R126" s="41">
        <f t="shared" si="51"/>
        <v>0</v>
      </c>
      <c r="S126" s="188">
        <f t="shared" si="52"/>
        <v>21</v>
      </c>
      <c r="T126" s="379"/>
      <c r="U126" s="379">
        <v>0</v>
      </c>
      <c r="V126" s="379">
        <v>0</v>
      </c>
      <c r="W126" s="379">
        <v>0</v>
      </c>
      <c r="X126" s="379">
        <v>0</v>
      </c>
      <c r="Y126" s="379"/>
      <c r="Z126" s="379">
        <v>0</v>
      </c>
      <c r="AA126" s="379">
        <v>21</v>
      </c>
      <c r="AJ126" s="390"/>
    </row>
    <row r="127" spans="1:36" s="16" customFormat="1" ht="14.25" customHeight="1">
      <c r="A127" s="73" t="s">
        <v>124</v>
      </c>
      <c r="B127" s="79" t="s">
        <v>196</v>
      </c>
      <c r="C127" s="385" t="s">
        <v>4</v>
      </c>
      <c r="D127" s="179">
        <v>90</v>
      </c>
      <c r="E127" s="73" t="s">
        <v>124</v>
      </c>
      <c r="F127" s="79" t="s">
        <v>196</v>
      </c>
      <c r="G127" s="385" t="s">
        <v>4</v>
      </c>
      <c r="H127" s="383">
        <v>90</v>
      </c>
      <c r="I127" s="218">
        <v>1.5909090909090908</v>
      </c>
      <c r="J127" s="41">
        <v>2.2</v>
      </c>
      <c r="K127" s="41">
        <v>3.5</v>
      </c>
      <c r="L127" s="41"/>
      <c r="M127" s="41">
        <v>0.5</v>
      </c>
      <c r="N127" s="313">
        <v>4</v>
      </c>
      <c r="O127" s="216">
        <f t="shared" si="48"/>
        <v>143.1818181818182</v>
      </c>
      <c r="P127" s="41">
        <f t="shared" si="49"/>
        <v>315</v>
      </c>
      <c r="Q127" s="41">
        <f t="shared" si="50"/>
        <v>0</v>
      </c>
      <c r="R127" s="41">
        <f t="shared" si="51"/>
        <v>45</v>
      </c>
      <c r="S127" s="188">
        <f t="shared" si="52"/>
        <v>360</v>
      </c>
      <c r="T127" s="379"/>
      <c r="U127" s="379">
        <v>0</v>
      </c>
      <c r="V127" s="379">
        <v>0</v>
      </c>
      <c r="W127" s="379">
        <v>0</v>
      </c>
      <c r="X127" s="379">
        <v>0</v>
      </c>
      <c r="Y127" s="379"/>
      <c r="Z127" s="379">
        <v>0</v>
      </c>
      <c r="AA127" s="379">
        <v>360</v>
      </c>
      <c r="AJ127" s="390"/>
    </row>
    <row r="128" spans="1:36" s="16" customFormat="1" ht="14.25" customHeight="1">
      <c r="A128" s="73"/>
      <c r="B128" s="39" t="s">
        <v>448</v>
      </c>
      <c r="C128" s="385" t="s">
        <v>6</v>
      </c>
      <c r="D128" s="179">
        <v>5.13</v>
      </c>
      <c r="E128" s="73"/>
      <c r="F128" s="39" t="s">
        <v>448</v>
      </c>
      <c r="G128" s="385" t="s">
        <v>6</v>
      </c>
      <c r="H128" s="383">
        <v>5.13</v>
      </c>
      <c r="I128" s="216"/>
      <c r="J128" s="41"/>
      <c r="K128" s="41"/>
      <c r="L128" s="41">
        <v>3.5</v>
      </c>
      <c r="M128" s="41">
        <v>1.5</v>
      </c>
      <c r="N128" s="313">
        <v>5</v>
      </c>
      <c r="O128" s="216">
        <f t="shared" si="48"/>
        <v>0</v>
      </c>
      <c r="P128" s="41">
        <f t="shared" si="49"/>
        <v>0</v>
      </c>
      <c r="Q128" s="41">
        <f t="shared" si="50"/>
        <v>17.955</v>
      </c>
      <c r="R128" s="41">
        <f t="shared" si="51"/>
        <v>7.695</v>
      </c>
      <c r="S128" s="188">
        <f>R128+Q128+P128+0.01</f>
        <v>25.66</v>
      </c>
      <c r="T128" s="379"/>
      <c r="U128" s="379">
        <v>0</v>
      </c>
      <c r="V128" s="379">
        <v>0</v>
      </c>
      <c r="W128" s="379">
        <v>0</v>
      </c>
      <c r="X128" s="379">
        <v>0</v>
      </c>
      <c r="Y128" s="379"/>
      <c r="Z128" s="379">
        <v>0</v>
      </c>
      <c r="AA128" s="379">
        <v>25.654999999999998</v>
      </c>
      <c r="AJ128" s="390"/>
    </row>
    <row r="129" spans="1:36" s="16" customFormat="1" ht="14.25" customHeight="1">
      <c r="A129" s="73"/>
      <c r="B129" s="39" t="s">
        <v>449</v>
      </c>
      <c r="C129" s="385" t="s">
        <v>6</v>
      </c>
      <c r="D129" s="179">
        <v>22.572</v>
      </c>
      <c r="E129" s="73"/>
      <c r="F129" s="39" t="s">
        <v>449</v>
      </c>
      <c r="G129" s="385" t="s">
        <v>6</v>
      </c>
      <c r="H129" s="383">
        <v>22.57</v>
      </c>
      <c r="I129" s="216"/>
      <c r="J129" s="41"/>
      <c r="K129" s="41"/>
      <c r="L129" s="41">
        <v>7.5</v>
      </c>
      <c r="M129" s="41">
        <v>2.5</v>
      </c>
      <c r="N129" s="313">
        <v>10</v>
      </c>
      <c r="O129" s="216">
        <f t="shared" si="48"/>
        <v>0</v>
      </c>
      <c r="P129" s="41">
        <f t="shared" si="49"/>
        <v>0</v>
      </c>
      <c r="Q129" s="41">
        <f>L129*H129+0.01</f>
        <v>169.285</v>
      </c>
      <c r="R129" s="41">
        <f t="shared" si="51"/>
        <v>56.425</v>
      </c>
      <c r="S129" s="188">
        <f>R129+Q129+P129+0.01</f>
        <v>225.71999999999997</v>
      </c>
      <c r="T129" s="379"/>
      <c r="U129" s="379">
        <v>0</v>
      </c>
      <c r="V129" s="379">
        <v>0</v>
      </c>
      <c r="W129" s="379">
        <v>0</v>
      </c>
      <c r="X129" s="379">
        <v>0</v>
      </c>
      <c r="Y129" s="379"/>
      <c r="Z129" s="379">
        <v>0</v>
      </c>
      <c r="AA129" s="379">
        <v>225.705</v>
      </c>
      <c r="AJ129" s="390"/>
    </row>
    <row r="130" spans="1:36" s="16" customFormat="1" ht="14.25" customHeight="1">
      <c r="A130" s="73"/>
      <c r="B130" s="35" t="s">
        <v>450</v>
      </c>
      <c r="C130" s="387" t="s">
        <v>4</v>
      </c>
      <c r="D130" s="174">
        <v>97.2</v>
      </c>
      <c r="E130" s="73"/>
      <c r="F130" s="35" t="s">
        <v>450</v>
      </c>
      <c r="G130" s="387" t="s">
        <v>4</v>
      </c>
      <c r="H130" s="384">
        <v>97.2</v>
      </c>
      <c r="I130" s="216"/>
      <c r="J130" s="41"/>
      <c r="K130" s="41"/>
      <c r="L130" s="41">
        <v>3.5</v>
      </c>
      <c r="M130" s="41"/>
      <c r="N130" s="313">
        <v>3.5</v>
      </c>
      <c r="O130" s="216">
        <f t="shared" si="48"/>
        <v>0</v>
      </c>
      <c r="P130" s="41">
        <f t="shared" si="49"/>
        <v>0</v>
      </c>
      <c r="Q130" s="41">
        <f t="shared" si="50"/>
        <v>340.2</v>
      </c>
      <c r="R130" s="41">
        <f t="shared" si="51"/>
        <v>0</v>
      </c>
      <c r="S130" s="188">
        <f t="shared" si="52"/>
        <v>340.2</v>
      </c>
      <c r="T130" s="379"/>
      <c r="U130" s="379">
        <v>0</v>
      </c>
      <c r="V130" s="379">
        <v>0</v>
      </c>
      <c r="W130" s="379">
        <v>0</v>
      </c>
      <c r="X130" s="379">
        <v>0</v>
      </c>
      <c r="Y130" s="379"/>
      <c r="Z130" s="379">
        <v>0</v>
      </c>
      <c r="AA130" s="379">
        <v>340.2</v>
      </c>
      <c r="AJ130" s="390"/>
    </row>
    <row r="131" spans="1:36" s="16" customFormat="1" ht="14.25" customHeight="1">
      <c r="A131" s="73"/>
      <c r="B131" s="35" t="s">
        <v>451</v>
      </c>
      <c r="C131" s="387" t="s">
        <v>6</v>
      </c>
      <c r="D131" s="174">
        <v>7.0875</v>
      </c>
      <c r="E131" s="73"/>
      <c r="F131" s="35" t="s">
        <v>451</v>
      </c>
      <c r="G131" s="387" t="s">
        <v>6</v>
      </c>
      <c r="H131" s="384">
        <v>7.09</v>
      </c>
      <c r="I131" s="216"/>
      <c r="J131" s="41"/>
      <c r="K131" s="41"/>
      <c r="L131" s="41">
        <v>47</v>
      </c>
      <c r="M131" s="41"/>
      <c r="N131" s="313">
        <v>47</v>
      </c>
      <c r="O131" s="216">
        <f t="shared" si="48"/>
        <v>0</v>
      </c>
      <c r="P131" s="41">
        <f t="shared" si="49"/>
        <v>0</v>
      </c>
      <c r="Q131" s="41">
        <f t="shared" si="50"/>
        <v>333.23</v>
      </c>
      <c r="R131" s="41">
        <f t="shared" si="51"/>
        <v>0</v>
      </c>
      <c r="S131" s="188">
        <f t="shared" si="52"/>
        <v>333.23</v>
      </c>
      <c r="T131" s="188">
        <f aca="true" t="shared" si="53" ref="T131:AI131">S131+R131+Q131</f>
        <v>666.46</v>
      </c>
      <c r="U131" s="188">
        <f t="shared" si="53"/>
        <v>999.69</v>
      </c>
      <c r="V131" s="188">
        <f t="shared" si="53"/>
        <v>1999.38</v>
      </c>
      <c r="W131" s="188">
        <f t="shared" si="53"/>
        <v>3665.53</v>
      </c>
      <c r="X131" s="188">
        <f t="shared" si="53"/>
        <v>6664.6</v>
      </c>
      <c r="Y131" s="188">
        <f t="shared" si="53"/>
        <v>12329.510000000002</v>
      </c>
      <c r="Z131" s="188">
        <f t="shared" si="53"/>
        <v>22659.64</v>
      </c>
      <c r="AA131" s="188">
        <f t="shared" si="53"/>
        <v>41653.75</v>
      </c>
      <c r="AB131" s="188">
        <f t="shared" si="53"/>
        <v>76642.9</v>
      </c>
      <c r="AC131" s="188">
        <f t="shared" si="53"/>
        <v>140956.28999999998</v>
      </c>
      <c r="AD131" s="188">
        <f t="shared" si="53"/>
        <v>259252.93999999997</v>
      </c>
      <c r="AE131" s="188">
        <f t="shared" si="53"/>
        <v>476852.13</v>
      </c>
      <c r="AF131" s="188">
        <f t="shared" si="53"/>
        <v>877061.3599999999</v>
      </c>
      <c r="AG131" s="188">
        <f t="shared" si="53"/>
        <v>1613166.4299999997</v>
      </c>
      <c r="AH131" s="188">
        <f t="shared" si="53"/>
        <v>2967079.9199999995</v>
      </c>
      <c r="AI131" s="188">
        <f t="shared" si="53"/>
        <v>5457307.709999999</v>
      </c>
      <c r="AJ131" s="390"/>
    </row>
    <row r="132" spans="1:36" s="16" customFormat="1" ht="14.25" customHeight="1" thickBot="1">
      <c r="A132" s="129"/>
      <c r="B132" s="102" t="s">
        <v>452</v>
      </c>
      <c r="C132" s="391" t="s">
        <v>3</v>
      </c>
      <c r="D132" s="392">
        <v>157.5</v>
      </c>
      <c r="E132" s="129"/>
      <c r="F132" s="102" t="s">
        <v>452</v>
      </c>
      <c r="G132" s="391" t="s">
        <v>3</v>
      </c>
      <c r="H132" s="398">
        <v>157.5</v>
      </c>
      <c r="I132" s="217"/>
      <c r="J132" s="50"/>
      <c r="K132" s="50"/>
      <c r="L132" s="50">
        <v>3</v>
      </c>
      <c r="M132" s="50"/>
      <c r="N132" s="298">
        <v>3</v>
      </c>
      <c r="O132" s="216">
        <f t="shared" si="48"/>
        <v>0</v>
      </c>
      <c r="P132" s="41">
        <f t="shared" si="49"/>
        <v>0</v>
      </c>
      <c r="Q132" s="41">
        <f t="shared" si="50"/>
        <v>472.5</v>
      </c>
      <c r="R132" s="41">
        <f t="shared" si="51"/>
        <v>0</v>
      </c>
      <c r="S132" s="188">
        <f t="shared" si="52"/>
        <v>472.5</v>
      </c>
      <c r="T132" s="380"/>
      <c r="U132" s="380">
        <v>0</v>
      </c>
      <c r="V132" s="380">
        <v>0</v>
      </c>
      <c r="W132" s="380">
        <v>0</v>
      </c>
      <c r="X132" s="380">
        <v>0</v>
      </c>
      <c r="Y132" s="380"/>
      <c r="Z132" s="380">
        <v>0</v>
      </c>
      <c r="AA132" s="380">
        <v>472.5</v>
      </c>
      <c r="AJ132" s="390"/>
    </row>
    <row r="133" spans="1:36" s="16" customFormat="1" ht="14.25" customHeight="1" thickBot="1">
      <c r="A133" s="269"/>
      <c r="B133" s="277" t="s">
        <v>336</v>
      </c>
      <c r="C133" s="395"/>
      <c r="D133" s="396"/>
      <c r="E133" s="269"/>
      <c r="F133" s="277" t="s">
        <v>336</v>
      </c>
      <c r="G133" s="395"/>
      <c r="H133" s="399"/>
      <c r="I133" s="225"/>
      <c r="J133" s="152"/>
      <c r="K133" s="152"/>
      <c r="L133" s="152"/>
      <c r="M133" s="152"/>
      <c r="N133" s="197"/>
      <c r="O133" s="225">
        <f>SUM(O108:O132)</f>
        <v>823.6363636363637</v>
      </c>
      <c r="P133" s="225">
        <f>SUM(P108:P132)</f>
        <v>1812</v>
      </c>
      <c r="Q133" s="225">
        <f>SUM(Q108:Q132)-0.11</f>
        <v>3586.937499999999</v>
      </c>
      <c r="R133" s="225">
        <f>SUM(R108:R132)+0.01</f>
        <v>396.63</v>
      </c>
      <c r="S133" s="225">
        <f>P133+Q133+R133</f>
        <v>5795.567499999999</v>
      </c>
      <c r="T133" s="18"/>
      <c r="U133" s="18">
        <v>0</v>
      </c>
      <c r="V133" s="18">
        <v>0</v>
      </c>
      <c r="W133" s="18">
        <v>0</v>
      </c>
      <c r="X133" s="18">
        <v>0</v>
      </c>
      <c r="Y133" s="18"/>
      <c r="Z133" s="18">
        <v>0</v>
      </c>
      <c r="AA133" s="381">
        <v>5795.6675</v>
      </c>
      <c r="AJ133" s="390"/>
    </row>
    <row r="134" spans="1:35" s="16" customFormat="1" ht="54" customHeight="1">
      <c r="A134" s="89" t="s">
        <v>58</v>
      </c>
      <c r="B134" s="274" t="s">
        <v>197</v>
      </c>
      <c r="C134" s="156" t="s">
        <v>4</v>
      </c>
      <c r="D134" s="233">
        <v>817</v>
      </c>
      <c r="E134" s="275" t="s">
        <v>58</v>
      </c>
      <c r="F134" s="419" t="s">
        <v>371</v>
      </c>
      <c r="G134" s="156" t="s">
        <v>7</v>
      </c>
      <c r="H134" s="276">
        <v>817</v>
      </c>
      <c r="I134" s="85"/>
      <c r="J134" s="68"/>
      <c r="K134" s="68"/>
      <c r="L134" s="68"/>
      <c r="M134" s="68"/>
      <c r="N134" s="156"/>
      <c r="O134" s="134"/>
      <c r="P134" s="68"/>
      <c r="Q134" s="68"/>
      <c r="R134" s="68"/>
      <c r="S134" s="186"/>
      <c r="T134" s="170"/>
      <c r="U134" s="40"/>
      <c r="V134" s="40"/>
      <c r="W134" s="40"/>
      <c r="X134" s="40"/>
      <c r="Y134" s="40"/>
      <c r="Z134" s="40"/>
      <c r="AA134" s="40"/>
      <c r="AB134" s="43"/>
      <c r="AC134" s="43"/>
      <c r="AD134" s="43"/>
      <c r="AE134" s="43"/>
      <c r="AF134" s="43"/>
      <c r="AG134" s="43"/>
      <c r="AH134" s="43"/>
      <c r="AI134" s="43"/>
    </row>
    <row r="135" spans="1:35" s="16" customFormat="1" ht="29.25" customHeight="1">
      <c r="A135" s="73" t="s">
        <v>59</v>
      </c>
      <c r="B135" s="79" t="s">
        <v>89</v>
      </c>
      <c r="C135" s="107" t="s">
        <v>7</v>
      </c>
      <c r="D135" s="237">
        <f>+D134</f>
        <v>817</v>
      </c>
      <c r="E135" s="220" t="s">
        <v>59</v>
      </c>
      <c r="F135" s="79" t="s">
        <v>89</v>
      </c>
      <c r="G135" s="107" t="s">
        <v>7</v>
      </c>
      <c r="H135" s="237">
        <v>817</v>
      </c>
      <c r="I135" s="218">
        <f>K135/J135</f>
        <v>0.13636363636363635</v>
      </c>
      <c r="J135" s="41">
        <v>2.2</v>
      </c>
      <c r="K135" s="34">
        <v>0.3</v>
      </c>
      <c r="L135" s="34"/>
      <c r="M135" s="34">
        <v>0.15</v>
      </c>
      <c r="N135" s="74">
        <f>K135+L135+M135</f>
        <v>0.44999999999999996</v>
      </c>
      <c r="O135" s="187">
        <f>H135*I135</f>
        <v>111.4090909090909</v>
      </c>
      <c r="P135" s="41">
        <f>ROUND(H135*K135,2)</f>
        <v>245.1</v>
      </c>
      <c r="Q135" s="41">
        <f>H135*L135</f>
        <v>0</v>
      </c>
      <c r="R135" s="41">
        <f>ROUND(H135*M135,2)</f>
        <v>122.55</v>
      </c>
      <c r="S135" s="188">
        <f>R135+Q135+P135</f>
        <v>367.65</v>
      </c>
      <c r="T135" s="170">
        <v>0</v>
      </c>
      <c r="U135" s="40">
        <f>T135*K135</f>
        <v>0</v>
      </c>
      <c r="V135" s="40">
        <f>T135*L135</f>
        <v>0</v>
      </c>
      <c r="W135" s="40">
        <f>T135*M135</f>
        <v>0</v>
      </c>
      <c r="X135" s="40">
        <f>U135+V135+W135</f>
        <v>0</v>
      </c>
      <c r="Y135" s="40">
        <v>817</v>
      </c>
      <c r="Z135" s="40">
        <f aca="true" t="shared" si="54" ref="Z135:Z145">Y135*N135</f>
        <v>367.65</v>
      </c>
      <c r="AA135" s="40">
        <f aca="true" t="shared" si="55" ref="AA135:AA182">S135-X135-Z135</f>
        <v>0</v>
      </c>
      <c r="AB135" s="43"/>
      <c r="AC135" s="43"/>
      <c r="AD135" s="43"/>
      <c r="AE135" s="43"/>
      <c r="AF135" s="43"/>
      <c r="AG135" s="43"/>
      <c r="AH135" s="43"/>
      <c r="AI135" s="43"/>
    </row>
    <row r="136" spans="1:45" s="17" customFormat="1" ht="27.75" customHeight="1">
      <c r="A136" s="73" t="s">
        <v>60</v>
      </c>
      <c r="B136" s="79" t="s">
        <v>198</v>
      </c>
      <c r="C136" s="107" t="s">
        <v>4</v>
      </c>
      <c r="D136" s="237">
        <f>+D135</f>
        <v>817</v>
      </c>
      <c r="E136" s="255" t="s">
        <v>393</v>
      </c>
      <c r="F136" s="79" t="s">
        <v>198</v>
      </c>
      <c r="G136" s="107" t="s">
        <v>4</v>
      </c>
      <c r="H136" s="238">
        <v>817</v>
      </c>
      <c r="I136" s="218">
        <f>K136/J136</f>
        <v>0.6818181818181818</v>
      </c>
      <c r="J136" s="41">
        <v>2.2</v>
      </c>
      <c r="K136" s="34">
        <v>1.5</v>
      </c>
      <c r="L136" s="34"/>
      <c r="M136" s="34">
        <v>0.15</v>
      </c>
      <c r="N136" s="74">
        <f aca="true" t="shared" si="56" ref="N136:N182">K136+L136+M136</f>
        <v>1.65</v>
      </c>
      <c r="O136" s="187">
        <f aca="true" t="shared" si="57" ref="O136:O182">H136*I136</f>
        <v>557.0454545454545</v>
      </c>
      <c r="P136" s="41">
        <f aca="true" t="shared" si="58" ref="P136:P182">ROUND(H136*K136,2)</f>
        <v>1225.5</v>
      </c>
      <c r="Q136" s="41">
        <f aca="true" t="shared" si="59" ref="Q136:Q182">H136*L136</f>
        <v>0</v>
      </c>
      <c r="R136" s="41">
        <f aca="true" t="shared" si="60" ref="R136:R182">ROUND(H136*M136,2)</f>
        <v>122.55</v>
      </c>
      <c r="S136" s="188">
        <f aca="true" t="shared" si="61" ref="S136:S182">R136+Q136+P136</f>
        <v>1348.05</v>
      </c>
      <c r="T136" s="170">
        <v>0</v>
      </c>
      <c r="U136" s="40">
        <f aca="true" t="shared" si="62" ref="U136:U182">T136*K136</f>
        <v>0</v>
      </c>
      <c r="V136" s="40">
        <f aca="true" t="shared" si="63" ref="V136:V182">T136*L136</f>
        <v>0</v>
      </c>
      <c r="W136" s="40">
        <f aca="true" t="shared" si="64" ref="W136:W182">T136*M136</f>
        <v>0</v>
      </c>
      <c r="X136" s="40">
        <f aca="true" t="shared" si="65" ref="X136:X182">U136+V136+W136</f>
        <v>0</v>
      </c>
      <c r="Y136" s="40">
        <v>817</v>
      </c>
      <c r="Z136" s="40">
        <f t="shared" si="54"/>
        <v>1348.05</v>
      </c>
      <c r="AA136" s="40">
        <f t="shared" si="55"/>
        <v>0</v>
      </c>
      <c r="AB136" s="43"/>
      <c r="AC136" s="43"/>
      <c r="AD136" s="43"/>
      <c r="AE136" s="43"/>
      <c r="AF136" s="43"/>
      <c r="AG136" s="43"/>
      <c r="AH136" s="43"/>
      <c r="AI136" s="43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1:35" s="16" customFormat="1" ht="15" customHeight="1">
      <c r="A137" s="73" t="s">
        <v>61</v>
      </c>
      <c r="B137" s="79" t="s">
        <v>90</v>
      </c>
      <c r="C137" s="109" t="s">
        <v>4</v>
      </c>
      <c r="D137" s="230">
        <f>+D134*1.1</f>
        <v>898.7</v>
      </c>
      <c r="E137" s="220" t="s">
        <v>61</v>
      </c>
      <c r="F137" s="79" t="s">
        <v>90</v>
      </c>
      <c r="G137" s="109" t="s">
        <v>4</v>
      </c>
      <c r="H137" s="230">
        <v>898.7</v>
      </c>
      <c r="I137" s="218">
        <f>K137/J137</f>
        <v>0.09090909090909091</v>
      </c>
      <c r="J137" s="41">
        <v>2.2</v>
      </c>
      <c r="K137" s="34">
        <v>0.2</v>
      </c>
      <c r="L137" s="34">
        <v>0.25</v>
      </c>
      <c r="M137" s="34">
        <v>0.05</v>
      </c>
      <c r="N137" s="74">
        <f t="shared" si="56"/>
        <v>0.5</v>
      </c>
      <c r="O137" s="187">
        <f t="shared" si="57"/>
        <v>81.7</v>
      </c>
      <c r="P137" s="41">
        <f t="shared" si="58"/>
        <v>179.74</v>
      </c>
      <c r="Q137" s="41">
        <f t="shared" si="59"/>
        <v>224.675</v>
      </c>
      <c r="R137" s="41">
        <f t="shared" si="60"/>
        <v>44.94</v>
      </c>
      <c r="S137" s="188">
        <f t="shared" si="61"/>
        <v>449.355</v>
      </c>
      <c r="T137" s="170">
        <v>0</v>
      </c>
      <c r="U137" s="40">
        <f t="shared" si="62"/>
        <v>0</v>
      </c>
      <c r="V137" s="40">
        <f t="shared" si="63"/>
        <v>0</v>
      </c>
      <c r="W137" s="40">
        <f t="shared" si="64"/>
        <v>0</v>
      </c>
      <c r="X137" s="40">
        <f t="shared" si="65"/>
        <v>0</v>
      </c>
      <c r="Y137" s="40">
        <f>Y136*1.1</f>
        <v>898.7</v>
      </c>
      <c r="Z137" s="40">
        <f t="shared" si="54"/>
        <v>449.35</v>
      </c>
      <c r="AA137" s="40">
        <f>S137-X137-Z137-0.01</f>
        <v>-0.005000000000004548</v>
      </c>
      <c r="AB137" s="43"/>
      <c r="AC137" s="43"/>
      <c r="AD137" s="43"/>
      <c r="AE137" s="43"/>
      <c r="AF137" s="43"/>
      <c r="AG137" s="43"/>
      <c r="AH137" s="43"/>
      <c r="AI137" s="43"/>
    </row>
    <row r="138" spans="1:35" s="16" customFormat="1" ht="28.5" customHeight="1">
      <c r="A138" s="73" t="s">
        <v>62</v>
      </c>
      <c r="B138" s="79" t="s">
        <v>199</v>
      </c>
      <c r="C138" s="204" t="s">
        <v>435</v>
      </c>
      <c r="D138" s="230">
        <f>+D134</f>
        <v>817</v>
      </c>
      <c r="E138" s="255" t="s">
        <v>429</v>
      </c>
      <c r="F138" s="414" t="s">
        <v>409</v>
      </c>
      <c r="G138" s="204" t="s">
        <v>435</v>
      </c>
      <c r="H138" s="230">
        <v>817</v>
      </c>
      <c r="I138" s="218">
        <f>K138/J138</f>
        <v>0.36363636363636365</v>
      </c>
      <c r="J138" s="41">
        <v>2.2</v>
      </c>
      <c r="K138" s="34">
        <v>0.8</v>
      </c>
      <c r="L138" s="34"/>
      <c r="M138" s="34">
        <v>0.05</v>
      </c>
      <c r="N138" s="74">
        <f t="shared" si="56"/>
        <v>0.8500000000000001</v>
      </c>
      <c r="O138" s="187">
        <f t="shared" si="57"/>
        <v>297.0909090909091</v>
      </c>
      <c r="P138" s="41">
        <f t="shared" si="58"/>
        <v>653.6</v>
      </c>
      <c r="Q138" s="41">
        <f t="shared" si="59"/>
        <v>0</v>
      </c>
      <c r="R138" s="41">
        <f t="shared" si="60"/>
        <v>40.85</v>
      </c>
      <c r="S138" s="188">
        <f t="shared" si="61"/>
        <v>694.45</v>
      </c>
      <c r="T138" s="170">
        <v>0</v>
      </c>
      <c r="U138" s="40">
        <f t="shared" si="62"/>
        <v>0</v>
      </c>
      <c r="V138" s="40">
        <f t="shared" si="63"/>
        <v>0</v>
      </c>
      <c r="W138" s="40">
        <f t="shared" si="64"/>
        <v>0</v>
      </c>
      <c r="X138" s="40">
        <f t="shared" si="65"/>
        <v>0</v>
      </c>
      <c r="Y138" s="40">
        <v>817</v>
      </c>
      <c r="Z138" s="40">
        <f t="shared" si="54"/>
        <v>694.45</v>
      </c>
      <c r="AA138" s="40">
        <f t="shared" si="55"/>
        <v>0</v>
      </c>
      <c r="AB138" s="43"/>
      <c r="AC138" s="43"/>
      <c r="AD138" s="43"/>
      <c r="AE138" s="43"/>
      <c r="AF138" s="43"/>
      <c r="AG138" s="43"/>
      <c r="AH138" s="43"/>
      <c r="AI138" s="43"/>
    </row>
    <row r="139" spans="1:35" s="16" customFormat="1" ht="34.5" customHeight="1" thickBot="1">
      <c r="A139" s="73"/>
      <c r="B139" s="39" t="s">
        <v>200</v>
      </c>
      <c r="C139" s="204" t="s">
        <v>4</v>
      </c>
      <c r="D139" s="230">
        <f>+D138*1.08</f>
        <v>882.36</v>
      </c>
      <c r="E139" s="179"/>
      <c r="F139" s="415" t="s">
        <v>372</v>
      </c>
      <c r="G139" s="204" t="s">
        <v>4</v>
      </c>
      <c r="H139" s="230">
        <f>+H138*1.08</f>
        <v>882.36</v>
      </c>
      <c r="I139" s="216"/>
      <c r="J139" s="41"/>
      <c r="K139" s="41"/>
      <c r="L139" s="41">
        <v>4.75</v>
      </c>
      <c r="M139" s="41"/>
      <c r="N139" s="74">
        <f t="shared" si="56"/>
        <v>4.75</v>
      </c>
      <c r="O139" s="187">
        <f t="shared" si="57"/>
        <v>0</v>
      </c>
      <c r="P139" s="41">
        <f t="shared" si="58"/>
        <v>0</v>
      </c>
      <c r="Q139" s="41">
        <f t="shared" si="59"/>
        <v>4191.21</v>
      </c>
      <c r="R139" s="41">
        <f t="shared" si="60"/>
        <v>0</v>
      </c>
      <c r="S139" s="188">
        <f t="shared" si="61"/>
        <v>4191.21</v>
      </c>
      <c r="T139" s="170">
        <v>0</v>
      </c>
      <c r="U139" s="40">
        <f t="shared" si="62"/>
        <v>0</v>
      </c>
      <c r="V139" s="40">
        <f t="shared" si="63"/>
        <v>0</v>
      </c>
      <c r="W139" s="40">
        <f t="shared" si="64"/>
        <v>0</v>
      </c>
      <c r="X139" s="40">
        <f t="shared" si="65"/>
        <v>0</v>
      </c>
      <c r="Y139" s="40">
        <v>882.36</v>
      </c>
      <c r="Z139" s="40">
        <f t="shared" si="54"/>
        <v>4191.21</v>
      </c>
      <c r="AA139" s="40">
        <f t="shared" si="55"/>
        <v>0</v>
      </c>
      <c r="AB139" s="43"/>
      <c r="AC139" s="43"/>
      <c r="AD139" s="43"/>
      <c r="AE139" s="43"/>
      <c r="AF139" s="43"/>
      <c r="AG139" s="43"/>
      <c r="AH139" s="43"/>
      <c r="AI139" s="43"/>
    </row>
    <row r="140" spans="1:35" s="16" customFormat="1" ht="27.75" customHeight="1">
      <c r="A140" s="73" t="s">
        <v>63</v>
      </c>
      <c r="B140" s="79" t="s">
        <v>201</v>
      </c>
      <c r="C140" s="204" t="s">
        <v>435</v>
      </c>
      <c r="D140" s="230">
        <f>+D138</f>
        <v>817</v>
      </c>
      <c r="E140" s="220" t="s">
        <v>63</v>
      </c>
      <c r="F140" s="79" t="s">
        <v>201</v>
      </c>
      <c r="G140" s="204" t="s">
        <v>435</v>
      </c>
      <c r="H140" s="230">
        <f>+H138</f>
        <v>817</v>
      </c>
      <c r="I140" s="218">
        <f>K140/J140</f>
        <v>0.20454545454545453</v>
      </c>
      <c r="J140" s="41">
        <v>2.2</v>
      </c>
      <c r="K140" s="41">
        <v>0.45</v>
      </c>
      <c r="L140" s="41"/>
      <c r="M140" s="41">
        <v>0.05</v>
      </c>
      <c r="N140" s="74">
        <f t="shared" si="56"/>
        <v>0.5</v>
      </c>
      <c r="O140" s="187">
        <f t="shared" si="57"/>
        <v>167.11363636363635</v>
      </c>
      <c r="P140" s="41">
        <f t="shared" si="58"/>
        <v>367.65</v>
      </c>
      <c r="Q140" s="41">
        <f t="shared" si="59"/>
        <v>0</v>
      </c>
      <c r="R140" s="41">
        <f t="shared" si="60"/>
        <v>40.85</v>
      </c>
      <c r="S140" s="188">
        <f t="shared" si="61"/>
        <v>408.5</v>
      </c>
      <c r="T140" s="170">
        <v>0</v>
      </c>
      <c r="U140" s="40">
        <f t="shared" si="62"/>
        <v>0</v>
      </c>
      <c r="V140" s="40">
        <f t="shared" si="63"/>
        <v>0</v>
      </c>
      <c r="W140" s="40">
        <f t="shared" si="64"/>
        <v>0</v>
      </c>
      <c r="X140" s="40">
        <f t="shared" si="65"/>
        <v>0</v>
      </c>
      <c r="Y140" s="40">
        <v>817</v>
      </c>
      <c r="Z140" s="40">
        <f t="shared" si="54"/>
        <v>408.5</v>
      </c>
      <c r="AA140" s="40">
        <f t="shared" si="55"/>
        <v>0</v>
      </c>
      <c r="AB140" s="43"/>
      <c r="AC140" s="43"/>
      <c r="AD140" s="43"/>
      <c r="AE140" s="43"/>
      <c r="AF140" s="43"/>
      <c r="AG140" s="43"/>
      <c r="AH140" s="43"/>
      <c r="AI140" s="43"/>
    </row>
    <row r="141" spans="1:35" s="16" customFormat="1" ht="15" customHeight="1">
      <c r="A141" s="73"/>
      <c r="B141" s="39" t="s">
        <v>202</v>
      </c>
      <c r="C141" s="204" t="s">
        <v>4</v>
      </c>
      <c r="D141" s="230">
        <f>+D140*1.08</f>
        <v>882.36</v>
      </c>
      <c r="E141" s="220"/>
      <c r="F141" s="39" t="s">
        <v>202</v>
      </c>
      <c r="G141" s="204" t="s">
        <v>4</v>
      </c>
      <c r="H141" s="230">
        <f>+H140*1.08</f>
        <v>882.36</v>
      </c>
      <c r="I141" s="216"/>
      <c r="J141" s="41"/>
      <c r="K141" s="41"/>
      <c r="L141" s="41">
        <v>1.65</v>
      </c>
      <c r="M141" s="41"/>
      <c r="N141" s="74">
        <f t="shared" si="56"/>
        <v>1.65</v>
      </c>
      <c r="O141" s="187">
        <f t="shared" si="57"/>
        <v>0</v>
      </c>
      <c r="P141" s="41">
        <f t="shared" si="58"/>
        <v>0</v>
      </c>
      <c r="Q141" s="41">
        <f t="shared" si="59"/>
        <v>1455.894</v>
      </c>
      <c r="R141" s="41">
        <f t="shared" si="60"/>
        <v>0</v>
      </c>
      <c r="S141" s="188">
        <f t="shared" si="61"/>
        <v>1455.894</v>
      </c>
      <c r="T141" s="170">
        <v>0</v>
      </c>
      <c r="U141" s="40">
        <f t="shared" si="62"/>
        <v>0</v>
      </c>
      <c r="V141" s="40">
        <f t="shared" si="63"/>
        <v>0</v>
      </c>
      <c r="W141" s="40">
        <f t="shared" si="64"/>
        <v>0</v>
      </c>
      <c r="X141" s="40">
        <f t="shared" si="65"/>
        <v>0</v>
      </c>
      <c r="Y141" s="40">
        <v>882.36</v>
      </c>
      <c r="Z141" s="40">
        <f t="shared" si="54"/>
        <v>1455.894</v>
      </c>
      <c r="AA141" s="40">
        <f t="shared" si="55"/>
        <v>0</v>
      </c>
      <c r="AB141" s="43"/>
      <c r="AC141" s="43"/>
      <c r="AD141" s="43"/>
      <c r="AE141" s="43"/>
      <c r="AF141" s="43"/>
      <c r="AG141" s="43"/>
      <c r="AH141" s="43"/>
      <c r="AI141" s="43"/>
    </row>
    <row r="142" spans="1:35" s="16" customFormat="1" ht="30" customHeight="1">
      <c r="A142" s="73"/>
      <c r="B142" s="39" t="s">
        <v>266</v>
      </c>
      <c r="C142" s="204" t="s">
        <v>8</v>
      </c>
      <c r="D142" s="230">
        <f>+D140*5</f>
        <v>4085</v>
      </c>
      <c r="E142" s="220"/>
      <c r="F142" s="39" t="s">
        <v>441</v>
      </c>
      <c r="G142" s="204" t="s">
        <v>8</v>
      </c>
      <c r="H142" s="230">
        <f>+H140*5</f>
        <v>4085</v>
      </c>
      <c r="I142" s="216"/>
      <c r="J142" s="41"/>
      <c r="K142" s="41"/>
      <c r="L142" s="41">
        <v>0.08</v>
      </c>
      <c r="M142" s="41"/>
      <c r="N142" s="74">
        <f t="shared" si="56"/>
        <v>0.08</v>
      </c>
      <c r="O142" s="187">
        <f t="shared" si="57"/>
        <v>0</v>
      </c>
      <c r="P142" s="41">
        <f t="shared" si="58"/>
        <v>0</v>
      </c>
      <c r="Q142" s="41">
        <f t="shared" si="59"/>
        <v>326.8</v>
      </c>
      <c r="R142" s="41">
        <f t="shared" si="60"/>
        <v>0</v>
      </c>
      <c r="S142" s="188">
        <f t="shared" si="61"/>
        <v>326.8</v>
      </c>
      <c r="T142" s="170">
        <v>0</v>
      </c>
      <c r="U142" s="40">
        <f t="shared" si="62"/>
        <v>0</v>
      </c>
      <c r="V142" s="40">
        <f t="shared" si="63"/>
        <v>0</v>
      </c>
      <c r="W142" s="40">
        <f t="shared" si="64"/>
        <v>0</v>
      </c>
      <c r="X142" s="40">
        <f t="shared" si="65"/>
        <v>0</v>
      </c>
      <c r="Y142" s="40">
        <v>4085</v>
      </c>
      <c r="Z142" s="40">
        <f t="shared" si="54"/>
        <v>326.8</v>
      </c>
      <c r="AA142" s="40">
        <f t="shared" si="55"/>
        <v>0</v>
      </c>
      <c r="AB142" s="43"/>
      <c r="AC142" s="43"/>
      <c r="AD142" s="43"/>
      <c r="AE142" s="43"/>
      <c r="AF142" s="43"/>
      <c r="AG142" s="43"/>
      <c r="AH142" s="43"/>
      <c r="AI142" s="43"/>
    </row>
    <row r="143" spans="1:35" s="16" customFormat="1" ht="15" customHeight="1">
      <c r="A143" s="73" t="s">
        <v>63</v>
      </c>
      <c r="B143" s="32" t="s">
        <v>91</v>
      </c>
      <c r="C143" s="107" t="s">
        <v>7</v>
      </c>
      <c r="D143" s="229">
        <f>+D134</f>
        <v>817</v>
      </c>
      <c r="E143" s="220" t="s">
        <v>63</v>
      </c>
      <c r="F143" s="32" t="s">
        <v>91</v>
      </c>
      <c r="G143" s="107" t="s">
        <v>7</v>
      </c>
      <c r="H143" s="229">
        <v>817</v>
      </c>
      <c r="I143" s="218">
        <f>K143/J143</f>
        <v>0.2954545454545454</v>
      </c>
      <c r="J143" s="41">
        <v>2.2</v>
      </c>
      <c r="K143" s="34">
        <v>0.65</v>
      </c>
      <c r="L143" s="34">
        <f>0.89*1</f>
        <v>0.89</v>
      </c>
      <c r="M143" s="34">
        <v>0.2</v>
      </c>
      <c r="N143" s="74">
        <f t="shared" si="56"/>
        <v>1.74</v>
      </c>
      <c r="O143" s="187">
        <f t="shared" si="57"/>
        <v>241.3863636363636</v>
      </c>
      <c r="P143" s="41">
        <f t="shared" si="58"/>
        <v>531.05</v>
      </c>
      <c r="Q143" s="41">
        <f t="shared" si="59"/>
        <v>727.13</v>
      </c>
      <c r="R143" s="41">
        <f t="shared" si="60"/>
        <v>163.4</v>
      </c>
      <c r="S143" s="188">
        <f t="shared" si="61"/>
        <v>1421.58</v>
      </c>
      <c r="T143" s="170">
        <v>0</v>
      </c>
      <c r="U143" s="40">
        <f t="shared" si="62"/>
        <v>0</v>
      </c>
      <c r="V143" s="40">
        <f t="shared" si="63"/>
        <v>0</v>
      </c>
      <c r="W143" s="40">
        <f t="shared" si="64"/>
        <v>0</v>
      </c>
      <c r="X143" s="40">
        <f t="shared" si="65"/>
        <v>0</v>
      </c>
      <c r="Y143" s="40">
        <v>817</v>
      </c>
      <c r="Z143" s="40">
        <f t="shared" si="54"/>
        <v>1421.58</v>
      </c>
      <c r="AA143" s="40">
        <f t="shared" si="55"/>
        <v>0</v>
      </c>
      <c r="AB143" s="43"/>
      <c r="AC143" s="43"/>
      <c r="AD143" s="43"/>
      <c r="AE143" s="43"/>
      <c r="AF143" s="43"/>
      <c r="AG143" s="43"/>
      <c r="AH143" s="43"/>
      <c r="AI143" s="43"/>
    </row>
    <row r="144" spans="1:35" s="16" customFormat="1" ht="40.5" customHeight="1">
      <c r="A144" s="73" t="s">
        <v>64</v>
      </c>
      <c r="B144" s="32" t="s">
        <v>304</v>
      </c>
      <c r="C144" s="204" t="s">
        <v>435</v>
      </c>
      <c r="D144" s="230">
        <f>+D134</f>
        <v>817</v>
      </c>
      <c r="E144" s="220" t="s">
        <v>64</v>
      </c>
      <c r="F144" s="32" t="s">
        <v>304</v>
      </c>
      <c r="G144" s="204" t="s">
        <v>435</v>
      </c>
      <c r="H144" s="230">
        <v>817</v>
      </c>
      <c r="I144" s="218">
        <f>K144/J144</f>
        <v>0.5</v>
      </c>
      <c r="J144" s="41">
        <v>2.2</v>
      </c>
      <c r="K144" s="34">
        <v>1.1</v>
      </c>
      <c r="L144" s="34"/>
      <c r="M144" s="34">
        <v>0.3</v>
      </c>
      <c r="N144" s="74">
        <f t="shared" si="56"/>
        <v>1.4000000000000001</v>
      </c>
      <c r="O144" s="187">
        <f t="shared" si="57"/>
        <v>408.5</v>
      </c>
      <c r="P144" s="41">
        <f t="shared" si="58"/>
        <v>898.7</v>
      </c>
      <c r="Q144" s="41">
        <f t="shared" si="59"/>
        <v>0</v>
      </c>
      <c r="R144" s="41">
        <f t="shared" si="60"/>
        <v>245.1</v>
      </c>
      <c r="S144" s="188">
        <f t="shared" si="61"/>
        <v>1143.8</v>
      </c>
      <c r="T144" s="170">
        <v>0</v>
      </c>
      <c r="U144" s="40">
        <f t="shared" si="62"/>
        <v>0</v>
      </c>
      <c r="V144" s="40">
        <f t="shared" si="63"/>
        <v>0</v>
      </c>
      <c r="W144" s="40">
        <f t="shared" si="64"/>
        <v>0</v>
      </c>
      <c r="X144" s="40">
        <f t="shared" si="65"/>
        <v>0</v>
      </c>
      <c r="Y144" s="40">
        <v>817</v>
      </c>
      <c r="Z144" s="40">
        <f t="shared" si="54"/>
        <v>1143.8000000000002</v>
      </c>
      <c r="AA144" s="40">
        <f t="shared" si="55"/>
        <v>0</v>
      </c>
      <c r="AB144" s="43"/>
      <c r="AC144" s="43"/>
      <c r="AD144" s="43"/>
      <c r="AE144" s="43"/>
      <c r="AF144" s="43"/>
      <c r="AG144" s="43"/>
      <c r="AH144" s="43"/>
      <c r="AI144" s="43"/>
    </row>
    <row r="145" spans="1:35" s="16" customFormat="1" ht="15" customHeight="1">
      <c r="A145" s="73"/>
      <c r="B145" s="39" t="s">
        <v>203</v>
      </c>
      <c r="C145" s="109" t="s">
        <v>4</v>
      </c>
      <c r="D145" s="239">
        <f>D144*1.1</f>
        <v>898.7</v>
      </c>
      <c r="E145" s="258"/>
      <c r="F145" s="39" t="s">
        <v>203</v>
      </c>
      <c r="G145" s="109" t="s">
        <v>4</v>
      </c>
      <c r="H145" s="239">
        <f>H144*1.1</f>
        <v>898.7</v>
      </c>
      <c r="I145" s="218"/>
      <c r="J145" s="34"/>
      <c r="K145" s="34"/>
      <c r="L145" s="34">
        <v>0.98</v>
      </c>
      <c r="M145" s="34"/>
      <c r="N145" s="74">
        <f t="shared" si="56"/>
        <v>0.98</v>
      </c>
      <c r="O145" s="187">
        <f t="shared" si="57"/>
        <v>0</v>
      </c>
      <c r="P145" s="41">
        <f t="shared" si="58"/>
        <v>0</v>
      </c>
      <c r="Q145" s="41">
        <f t="shared" si="59"/>
        <v>880.726</v>
      </c>
      <c r="R145" s="41">
        <f t="shared" si="60"/>
        <v>0</v>
      </c>
      <c r="S145" s="188">
        <f t="shared" si="61"/>
        <v>880.726</v>
      </c>
      <c r="T145" s="170">
        <v>0</v>
      </c>
      <c r="U145" s="40">
        <f t="shared" si="62"/>
        <v>0</v>
      </c>
      <c r="V145" s="40">
        <f t="shared" si="63"/>
        <v>0</v>
      </c>
      <c r="W145" s="40">
        <f t="shared" si="64"/>
        <v>0</v>
      </c>
      <c r="X145" s="40">
        <f t="shared" si="65"/>
        <v>0</v>
      </c>
      <c r="Y145" s="40">
        <v>898.7</v>
      </c>
      <c r="Z145" s="40">
        <f t="shared" si="54"/>
        <v>880.726</v>
      </c>
      <c r="AA145" s="40">
        <f t="shared" si="55"/>
        <v>0</v>
      </c>
      <c r="AB145" s="43"/>
      <c r="AC145" s="43"/>
      <c r="AD145" s="43"/>
      <c r="AE145" s="43"/>
      <c r="AF145" s="43"/>
      <c r="AG145" s="43"/>
      <c r="AH145" s="43"/>
      <c r="AI145" s="43"/>
    </row>
    <row r="146" spans="1:35" s="16" customFormat="1" ht="15" customHeight="1">
      <c r="A146" s="73"/>
      <c r="B146" s="39" t="s">
        <v>204</v>
      </c>
      <c r="C146" s="109" t="s">
        <v>4</v>
      </c>
      <c r="D146" s="239">
        <f>D144*1.1</f>
        <v>898.7</v>
      </c>
      <c r="E146" s="258"/>
      <c r="F146" s="39" t="s">
        <v>204</v>
      </c>
      <c r="G146" s="109" t="s">
        <v>4</v>
      </c>
      <c r="H146" s="239">
        <f>H144*1.1</f>
        <v>898.7</v>
      </c>
      <c r="I146" s="218"/>
      <c r="J146" s="34"/>
      <c r="K146" s="34"/>
      <c r="L146" s="34">
        <v>1.08</v>
      </c>
      <c r="M146" s="34"/>
      <c r="N146" s="74">
        <f t="shared" si="56"/>
        <v>1.08</v>
      </c>
      <c r="O146" s="187">
        <f t="shared" si="57"/>
        <v>0</v>
      </c>
      <c r="P146" s="41">
        <f t="shared" si="58"/>
        <v>0</v>
      </c>
      <c r="Q146" s="41">
        <f t="shared" si="59"/>
        <v>970.5960000000001</v>
      </c>
      <c r="R146" s="41">
        <f t="shared" si="60"/>
        <v>0</v>
      </c>
      <c r="S146" s="188">
        <f t="shared" si="61"/>
        <v>970.5960000000001</v>
      </c>
      <c r="T146" s="170">
        <v>0</v>
      </c>
      <c r="U146" s="40">
        <f t="shared" si="62"/>
        <v>0</v>
      </c>
      <c r="V146" s="40">
        <f t="shared" si="63"/>
        <v>0</v>
      </c>
      <c r="W146" s="40">
        <f t="shared" si="64"/>
        <v>0</v>
      </c>
      <c r="X146" s="40">
        <f t="shared" si="65"/>
        <v>0</v>
      </c>
      <c r="Y146" s="40">
        <v>898.7</v>
      </c>
      <c r="Z146" s="40">
        <f aca="true" t="shared" si="66" ref="Z146:Z211">Y146*N146</f>
        <v>970.5960000000001</v>
      </c>
      <c r="AA146" s="40">
        <f t="shared" si="55"/>
        <v>0</v>
      </c>
      <c r="AB146" s="43"/>
      <c r="AC146" s="43"/>
      <c r="AD146" s="43"/>
      <c r="AE146" s="43"/>
      <c r="AF146" s="43"/>
      <c r="AG146" s="43"/>
      <c r="AH146" s="43"/>
      <c r="AI146" s="43"/>
    </row>
    <row r="147" spans="1:35" s="16" customFormat="1" ht="15" customHeight="1">
      <c r="A147" s="73"/>
      <c r="B147" s="39" t="s">
        <v>125</v>
      </c>
      <c r="C147" s="109" t="s">
        <v>4</v>
      </c>
      <c r="D147" s="239">
        <f>+D134</f>
        <v>817</v>
      </c>
      <c r="E147" s="258"/>
      <c r="F147" s="39" t="s">
        <v>125</v>
      </c>
      <c r="G147" s="109" t="s">
        <v>4</v>
      </c>
      <c r="H147" s="239">
        <v>817</v>
      </c>
      <c r="I147" s="218"/>
      <c r="J147" s="34"/>
      <c r="K147" s="34"/>
      <c r="L147" s="34">
        <v>0.5</v>
      </c>
      <c r="M147" s="34"/>
      <c r="N147" s="74">
        <f t="shared" si="56"/>
        <v>0.5</v>
      </c>
      <c r="O147" s="187">
        <f t="shared" si="57"/>
        <v>0</v>
      </c>
      <c r="P147" s="41">
        <f t="shared" si="58"/>
        <v>0</v>
      </c>
      <c r="Q147" s="41">
        <f t="shared" si="59"/>
        <v>408.5</v>
      </c>
      <c r="R147" s="41">
        <f t="shared" si="60"/>
        <v>0</v>
      </c>
      <c r="S147" s="188">
        <f t="shared" si="61"/>
        <v>408.5</v>
      </c>
      <c r="T147" s="170">
        <v>0</v>
      </c>
      <c r="U147" s="40">
        <f t="shared" si="62"/>
        <v>0</v>
      </c>
      <c r="V147" s="40">
        <f t="shared" si="63"/>
        <v>0</v>
      </c>
      <c r="W147" s="40">
        <f t="shared" si="64"/>
        <v>0</v>
      </c>
      <c r="X147" s="40">
        <f t="shared" si="65"/>
        <v>0</v>
      </c>
      <c r="Y147" s="40">
        <v>817</v>
      </c>
      <c r="Z147" s="40">
        <f t="shared" si="66"/>
        <v>408.5</v>
      </c>
      <c r="AA147" s="40">
        <f t="shared" si="55"/>
        <v>0</v>
      </c>
      <c r="AB147" s="43"/>
      <c r="AC147" s="43"/>
      <c r="AD147" s="43"/>
      <c r="AE147" s="43"/>
      <c r="AF147" s="43"/>
      <c r="AG147" s="43"/>
      <c r="AH147" s="43"/>
      <c r="AI147" s="43"/>
    </row>
    <row r="148" spans="1:35" s="16" customFormat="1" ht="15" customHeight="1">
      <c r="A148" s="73"/>
      <c r="B148" s="378" t="s">
        <v>205</v>
      </c>
      <c r="C148" s="204" t="s">
        <v>3</v>
      </c>
      <c r="D148" s="230">
        <v>140</v>
      </c>
      <c r="E148" s="179"/>
      <c r="F148" s="378" t="s">
        <v>205</v>
      </c>
      <c r="G148" s="204" t="s">
        <v>3</v>
      </c>
      <c r="H148" s="230">
        <v>140</v>
      </c>
      <c r="I148" s="218"/>
      <c r="J148" s="41"/>
      <c r="K148" s="34"/>
      <c r="L148" s="34"/>
      <c r="M148" s="34"/>
      <c r="N148" s="74"/>
      <c r="O148" s="187"/>
      <c r="P148" s="41"/>
      <c r="Q148" s="41"/>
      <c r="R148" s="41"/>
      <c r="S148" s="188"/>
      <c r="T148" s="170"/>
      <c r="U148" s="40">
        <f t="shared" si="62"/>
        <v>0</v>
      </c>
      <c r="V148" s="40">
        <f t="shared" si="63"/>
        <v>0</v>
      </c>
      <c r="W148" s="40">
        <f t="shared" si="64"/>
        <v>0</v>
      </c>
      <c r="X148" s="40">
        <f t="shared" si="65"/>
        <v>0</v>
      </c>
      <c r="Y148" s="40"/>
      <c r="Z148" s="40">
        <f t="shared" si="66"/>
        <v>0</v>
      </c>
      <c r="AA148" s="40">
        <f t="shared" si="55"/>
        <v>0</v>
      </c>
      <c r="AB148" s="43"/>
      <c r="AC148" s="43"/>
      <c r="AD148" s="43"/>
      <c r="AE148" s="43"/>
      <c r="AF148" s="43"/>
      <c r="AG148" s="43"/>
      <c r="AH148" s="43"/>
      <c r="AI148" s="43"/>
    </row>
    <row r="149" spans="1:45" s="17" customFormat="1" ht="15" customHeight="1">
      <c r="A149" s="73" t="s">
        <v>92</v>
      </c>
      <c r="B149" s="79" t="s">
        <v>206</v>
      </c>
      <c r="C149" s="109" t="s">
        <v>3</v>
      </c>
      <c r="D149" s="230">
        <v>108</v>
      </c>
      <c r="E149" s="255" t="s">
        <v>92</v>
      </c>
      <c r="F149" s="79" t="s">
        <v>206</v>
      </c>
      <c r="G149" s="109" t="s">
        <v>3</v>
      </c>
      <c r="H149" s="230">
        <v>108</v>
      </c>
      <c r="I149" s="218">
        <f>K149/J149</f>
        <v>0.5454545454545454</v>
      </c>
      <c r="J149" s="41">
        <v>2.2</v>
      </c>
      <c r="K149" s="34">
        <v>1.2</v>
      </c>
      <c r="L149" s="34"/>
      <c r="M149" s="34">
        <v>0.25</v>
      </c>
      <c r="N149" s="74">
        <f t="shared" si="56"/>
        <v>1.45</v>
      </c>
      <c r="O149" s="187">
        <f t="shared" si="57"/>
        <v>58.90909090909091</v>
      </c>
      <c r="P149" s="41">
        <f t="shared" si="58"/>
        <v>129.6</v>
      </c>
      <c r="Q149" s="41">
        <f t="shared" si="59"/>
        <v>0</v>
      </c>
      <c r="R149" s="41">
        <f t="shared" si="60"/>
        <v>27</v>
      </c>
      <c r="S149" s="188">
        <f t="shared" si="61"/>
        <v>156.6</v>
      </c>
      <c r="T149" s="170">
        <v>0</v>
      </c>
      <c r="U149" s="40">
        <f t="shared" si="62"/>
        <v>0</v>
      </c>
      <c r="V149" s="40">
        <f t="shared" si="63"/>
        <v>0</v>
      </c>
      <c r="W149" s="40">
        <f t="shared" si="64"/>
        <v>0</v>
      </c>
      <c r="X149" s="40">
        <f t="shared" si="65"/>
        <v>0</v>
      </c>
      <c r="Y149" s="40">
        <v>108</v>
      </c>
      <c r="Z149" s="40">
        <f t="shared" si="66"/>
        <v>156.6</v>
      </c>
      <c r="AA149" s="40">
        <f t="shared" si="55"/>
        <v>0</v>
      </c>
      <c r="AB149" s="43"/>
      <c r="AC149" s="43"/>
      <c r="AD149" s="43"/>
      <c r="AE149" s="43"/>
      <c r="AF149" s="43"/>
      <c r="AG149" s="43"/>
      <c r="AH149" s="43"/>
      <c r="AI149" s="43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</row>
    <row r="150" spans="1:45" s="17" customFormat="1" ht="15" customHeight="1">
      <c r="A150" s="73"/>
      <c r="B150" s="39" t="s">
        <v>207</v>
      </c>
      <c r="C150" s="109" t="s">
        <v>3</v>
      </c>
      <c r="D150" s="230">
        <f>+D149*1.03</f>
        <v>111.24000000000001</v>
      </c>
      <c r="E150" s="255"/>
      <c r="F150" s="39" t="s">
        <v>207</v>
      </c>
      <c r="G150" s="109" t="s">
        <v>3</v>
      </c>
      <c r="H150" s="230">
        <f>+H149*1.03</f>
        <v>111.24000000000001</v>
      </c>
      <c r="I150" s="218"/>
      <c r="J150" s="34"/>
      <c r="K150" s="34"/>
      <c r="L150" s="34">
        <v>1.75</v>
      </c>
      <c r="M150" s="34"/>
      <c r="N150" s="74">
        <f t="shared" si="56"/>
        <v>1.75</v>
      </c>
      <c r="O150" s="187">
        <f t="shared" si="57"/>
        <v>0</v>
      </c>
      <c r="P150" s="41">
        <f t="shared" si="58"/>
        <v>0</v>
      </c>
      <c r="Q150" s="41">
        <f t="shared" si="59"/>
        <v>194.67000000000002</v>
      </c>
      <c r="R150" s="41">
        <f t="shared" si="60"/>
        <v>0</v>
      </c>
      <c r="S150" s="188">
        <f t="shared" si="61"/>
        <v>194.67000000000002</v>
      </c>
      <c r="T150" s="170">
        <v>0</v>
      </c>
      <c r="U150" s="40">
        <f t="shared" si="62"/>
        <v>0</v>
      </c>
      <c r="V150" s="40">
        <f t="shared" si="63"/>
        <v>0</v>
      </c>
      <c r="W150" s="40">
        <f t="shared" si="64"/>
        <v>0</v>
      </c>
      <c r="X150" s="40">
        <f t="shared" si="65"/>
        <v>0</v>
      </c>
      <c r="Y150" s="40">
        <v>111.24</v>
      </c>
      <c r="Z150" s="40">
        <f t="shared" si="66"/>
        <v>194.67</v>
      </c>
      <c r="AA150" s="40">
        <f t="shared" si="55"/>
        <v>0</v>
      </c>
      <c r="AB150" s="43"/>
      <c r="AC150" s="43"/>
      <c r="AD150" s="43"/>
      <c r="AE150" s="43"/>
      <c r="AF150" s="43"/>
      <c r="AG150" s="43"/>
      <c r="AH150" s="43"/>
      <c r="AI150" s="43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</row>
    <row r="151" spans="1:45" s="17" customFormat="1" ht="15" customHeight="1">
      <c r="A151" s="73"/>
      <c r="B151" s="110" t="s">
        <v>208</v>
      </c>
      <c r="C151" s="204" t="s">
        <v>10</v>
      </c>
      <c r="D151" s="230">
        <v>170</v>
      </c>
      <c r="E151" s="255"/>
      <c r="F151" s="110" t="s">
        <v>208</v>
      </c>
      <c r="G151" s="204" t="s">
        <v>10</v>
      </c>
      <c r="H151" s="230">
        <v>170</v>
      </c>
      <c r="I151" s="218"/>
      <c r="J151" s="34"/>
      <c r="K151" s="34"/>
      <c r="L151" s="34">
        <v>0.45</v>
      </c>
      <c r="M151" s="34"/>
      <c r="N151" s="74">
        <f t="shared" si="56"/>
        <v>0.45</v>
      </c>
      <c r="O151" s="187">
        <f t="shared" si="57"/>
        <v>0</v>
      </c>
      <c r="P151" s="41">
        <f t="shared" si="58"/>
        <v>0</v>
      </c>
      <c r="Q151" s="41">
        <f t="shared" si="59"/>
        <v>76.5</v>
      </c>
      <c r="R151" s="41">
        <f t="shared" si="60"/>
        <v>0</v>
      </c>
      <c r="S151" s="188">
        <f t="shared" si="61"/>
        <v>76.5</v>
      </c>
      <c r="T151" s="170">
        <v>0</v>
      </c>
      <c r="U151" s="40">
        <f t="shared" si="62"/>
        <v>0</v>
      </c>
      <c r="V151" s="40">
        <f t="shared" si="63"/>
        <v>0</v>
      </c>
      <c r="W151" s="40">
        <f t="shared" si="64"/>
        <v>0</v>
      </c>
      <c r="X151" s="40">
        <f t="shared" si="65"/>
        <v>0</v>
      </c>
      <c r="Y151" s="40">
        <v>170</v>
      </c>
      <c r="Z151" s="40">
        <f t="shared" si="66"/>
        <v>76.5</v>
      </c>
      <c r="AA151" s="40">
        <f t="shared" si="55"/>
        <v>0</v>
      </c>
      <c r="AB151" s="43"/>
      <c r="AC151" s="43"/>
      <c r="AD151" s="43"/>
      <c r="AE151" s="43"/>
      <c r="AF151" s="43"/>
      <c r="AG151" s="43"/>
      <c r="AH151" s="43"/>
      <c r="AI151" s="43"/>
      <c r="AJ151" s="19"/>
      <c r="AK151" s="16"/>
      <c r="AL151" s="16"/>
      <c r="AM151" s="16"/>
      <c r="AN151" s="16"/>
      <c r="AO151" s="16"/>
      <c r="AP151" s="16"/>
      <c r="AQ151" s="16"/>
      <c r="AR151" s="16"/>
      <c r="AS151" s="16"/>
    </row>
    <row r="152" spans="1:45" s="17" customFormat="1" ht="15" customHeight="1">
      <c r="A152" s="73"/>
      <c r="B152" s="100" t="s">
        <v>120</v>
      </c>
      <c r="C152" s="204" t="s">
        <v>10</v>
      </c>
      <c r="D152" s="230">
        <f>+D149*8</f>
        <v>864</v>
      </c>
      <c r="E152" s="255"/>
      <c r="F152" s="100" t="s">
        <v>120</v>
      </c>
      <c r="G152" s="204" t="s">
        <v>10</v>
      </c>
      <c r="H152" s="230">
        <f>+H149*8</f>
        <v>864</v>
      </c>
      <c r="I152" s="218"/>
      <c r="J152" s="34"/>
      <c r="K152" s="34"/>
      <c r="L152" s="34">
        <v>0.01</v>
      </c>
      <c r="M152" s="34"/>
      <c r="N152" s="74">
        <f t="shared" si="56"/>
        <v>0.01</v>
      </c>
      <c r="O152" s="187">
        <f t="shared" si="57"/>
        <v>0</v>
      </c>
      <c r="P152" s="41">
        <f t="shared" si="58"/>
        <v>0</v>
      </c>
      <c r="Q152" s="41">
        <f t="shared" si="59"/>
        <v>8.64</v>
      </c>
      <c r="R152" s="41">
        <f t="shared" si="60"/>
        <v>0</v>
      </c>
      <c r="S152" s="188">
        <f t="shared" si="61"/>
        <v>8.64</v>
      </c>
      <c r="T152" s="170">
        <v>0</v>
      </c>
      <c r="U152" s="40">
        <f t="shared" si="62"/>
        <v>0</v>
      </c>
      <c r="V152" s="40">
        <f t="shared" si="63"/>
        <v>0</v>
      </c>
      <c r="W152" s="40">
        <f t="shared" si="64"/>
        <v>0</v>
      </c>
      <c r="X152" s="40">
        <f t="shared" si="65"/>
        <v>0</v>
      </c>
      <c r="Y152" s="40">
        <v>864</v>
      </c>
      <c r="Z152" s="40">
        <f t="shared" si="66"/>
        <v>8.64</v>
      </c>
      <c r="AA152" s="40">
        <f t="shared" si="55"/>
        <v>0</v>
      </c>
      <c r="AB152" s="43"/>
      <c r="AC152" s="43"/>
      <c r="AD152" s="43"/>
      <c r="AE152" s="43"/>
      <c r="AF152" s="43"/>
      <c r="AG152" s="43"/>
      <c r="AH152" s="43"/>
      <c r="AI152" s="43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</row>
    <row r="153" spans="1:45" s="17" customFormat="1" ht="30" customHeight="1">
      <c r="A153" s="73" t="s">
        <v>104</v>
      </c>
      <c r="B153" s="111" t="s">
        <v>209</v>
      </c>
      <c r="C153" s="204" t="s">
        <v>3</v>
      </c>
      <c r="D153" s="230">
        <f>+D148</f>
        <v>140</v>
      </c>
      <c r="E153" s="255" t="s">
        <v>104</v>
      </c>
      <c r="F153" s="111" t="s">
        <v>209</v>
      </c>
      <c r="G153" s="204" t="s">
        <v>3</v>
      </c>
      <c r="H153" s="230">
        <f>+H148</f>
        <v>140</v>
      </c>
      <c r="I153" s="218">
        <f>K153/J153</f>
        <v>0.5454545454545454</v>
      </c>
      <c r="J153" s="41">
        <v>2.2</v>
      </c>
      <c r="K153" s="34">
        <v>1.2</v>
      </c>
      <c r="L153" s="34"/>
      <c r="M153" s="34">
        <v>0.25</v>
      </c>
      <c r="N153" s="74">
        <f t="shared" si="56"/>
        <v>1.45</v>
      </c>
      <c r="O153" s="187">
        <f t="shared" si="57"/>
        <v>76.36363636363636</v>
      </c>
      <c r="P153" s="41">
        <f t="shared" si="58"/>
        <v>168</v>
      </c>
      <c r="Q153" s="41">
        <f t="shared" si="59"/>
        <v>0</v>
      </c>
      <c r="R153" s="41">
        <f t="shared" si="60"/>
        <v>35</v>
      </c>
      <c r="S153" s="188">
        <f t="shared" si="61"/>
        <v>203</v>
      </c>
      <c r="T153" s="170">
        <v>0</v>
      </c>
      <c r="U153" s="40">
        <f t="shared" si="62"/>
        <v>0</v>
      </c>
      <c r="V153" s="40">
        <f t="shared" si="63"/>
        <v>0</v>
      </c>
      <c r="W153" s="40">
        <f t="shared" si="64"/>
        <v>0</v>
      </c>
      <c r="X153" s="40">
        <f t="shared" si="65"/>
        <v>0</v>
      </c>
      <c r="Y153" s="40">
        <v>140</v>
      </c>
      <c r="Z153" s="40">
        <f t="shared" si="66"/>
        <v>203</v>
      </c>
      <c r="AA153" s="40">
        <f t="shared" si="55"/>
        <v>0</v>
      </c>
      <c r="AB153" s="43"/>
      <c r="AC153" s="43"/>
      <c r="AD153" s="43"/>
      <c r="AE153" s="43"/>
      <c r="AF153" s="43"/>
      <c r="AG153" s="43"/>
      <c r="AH153" s="43"/>
      <c r="AI153" s="43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</row>
    <row r="154" spans="1:45" s="17" customFormat="1" ht="15" customHeight="1">
      <c r="A154" s="73"/>
      <c r="B154" s="110" t="s">
        <v>210</v>
      </c>
      <c r="C154" s="204" t="s">
        <v>3</v>
      </c>
      <c r="D154" s="230">
        <f>+D153*1.03</f>
        <v>144.20000000000002</v>
      </c>
      <c r="E154" s="255"/>
      <c r="F154" s="110" t="s">
        <v>210</v>
      </c>
      <c r="G154" s="204" t="s">
        <v>3</v>
      </c>
      <c r="H154" s="230">
        <f>+H153*1.03</f>
        <v>144.20000000000002</v>
      </c>
      <c r="I154" s="218"/>
      <c r="J154" s="34"/>
      <c r="K154" s="34"/>
      <c r="L154" s="34">
        <v>1.75</v>
      </c>
      <c r="M154" s="34"/>
      <c r="N154" s="74">
        <f t="shared" si="56"/>
        <v>1.75</v>
      </c>
      <c r="O154" s="187">
        <f t="shared" si="57"/>
        <v>0</v>
      </c>
      <c r="P154" s="41">
        <f t="shared" si="58"/>
        <v>0</v>
      </c>
      <c r="Q154" s="41">
        <f t="shared" si="59"/>
        <v>252.35000000000002</v>
      </c>
      <c r="R154" s="41">
        <f t="shared" si="60"/>
        <v>0</v>
      </c>
      <c r="S154" s="188">
        <f t="shared" si="61"/>
        <v>252.35000000000002</v>
      </c>
      <c r="T154" s="170">
        <v>0</v>
      </c>
      <c r="U154" s="40">
        <f t="shared" si="62"/>
        <v>0</v>
      </c>
      <c r="V154" s="40">
        <f t="shared" si="63"/>
        <v>0</v>
      </c>
      <c r="W154" s="40">
        <f t="shared" si="64"/>
        <v>0</v>
      </c>
      <c r="X154" s="40">
        <f t="shared" si="65"/>
        <v>0</v>
      </c>
      <c r="Y154" s="40">
        <v>144.2</v>
      </c>
      <c r="Z154" s="40">
        <f t="shared" si="66"/>
        <v>252.34999999999997</v>
      </c>
      <c r="AA154" s="40">
        <f t="shared" si="55"/>
        <v>0</v>
      </c>
      <c r="AB154" s="43"/>
      <c r="AC154" s="43"/>
      <c r="AD154" s="43"/>
      <c r="AE154" s="43"/>
      <c r="AF154" s="43"/>
      <c r="AG154" s="43"/>
      <c r="AH154" s="43"/>
      <c r="AI154" s="43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</row>
    <row r="155" spans="1:45" s="17" customFormat="1" ht="15" customHeight="1">
      <c r="A155" s="73"/>
      <c r="B155" s="110" t="s">
        <v>120</v>
      </c>
      <c r="C155" s="204" t="s">
        <v>8</v>
      </c>
      <c r="D155" s="230">
        <f>+D154*4</f>
        <v>576.8000000000001</v>
      </c>
      <c r="E155" s="255"/>
      <c r="F155" s="110" t="s">
        <v>120</v>
      </c>
      <c r="G155" s="204" t="s">
        <v>8</v>
      </c>
      <c r="H155" s="230">
        <f>+H154*4</f>
        <v>576.8000000000001</v>
      </c>
      <c r="I155" s="221"/>
      <c r="J155" s="33"/>
      <c r="K155" s="33"/>
      <c r="L155" s="33">
        <v>0.01</v>
      </c>
      <c r="M155" s="33"/>
      <c r="N155" s="74">
        <f t="shared" si="56"/>
        <v>0.01</v>
      </c>
      <c r="O155" s="187">
        <f t="shared" si="57"/>
        <v>0</v>
      </c>
      <c r="P155" s="41">
        <f t="shared" si="58"/>
        <v>0</v>
      </c>
      <c r="Q155" s="41">
        <f t="shared" si="59"/>
        <v>5.768000000000001</v>
      </c>
      <c r="R155" s="41">
        <f t="shared" si="60"/>
        <v>0</v>
      </c>
      <c r="S155" s="188">
        <f t="shared" si="61"/>
        <v>5.768000000000001</v>
      </c>
      <c r="T155" s="170">
        <v>0</v>
      </c>
      <c r="U155" s="40">
        <f t="shared" si="62"/>
        <v>0</v>
      </c>
      <c r="V155" s="40">
        <f t="shared" si="63"/>
        <v>0</v>
      </c>
      <c r="W155" s="40">
        <f t="shared" si="64"/>
        <v>0</v>
      </c>
      <c r="X155" s="40">
        <f t="shared" si="65"/>
        <v>0</v>
      </c>
      <c r="Y155" s="40">
        <v>576.8</v>
      </c>
      <c r="Z155" s="40">
        <f t="shared" si="66"/>
        <v>5.768</v>
      </c>
      <c r="AA155" s="40">
        <f t="shared" si="55"/>
        <v>0</v>
      </c>
      <c r="AB155" s="43"/>
      <c r="AC155" s="43"/>
      <c r="AD155" s="43"/>
      <c r="AE155" s="43"/>
      <c r="AF155" s="43"/>
      <c r="AG155" s="43"/>
      <c r="AH155" s="43"/>
      <c r="AI155" s="43"/>
      <c r="AJ155" s="19"/>
      <c r="AK155" s="16"/>
      <c r="AL155" s="16"/>
      <c r="AM155" s="16"/>
      <c r="AN155" s="16"/>
      <c r="AO155" s="16"/>
      <c r="AP155" s="16"/>
      <c r="AQ155" s="16"/>
      <c r="AR155" s="16"/>
      <c r="AS155" s="16"/>
    </row>
    <row r="156" spans="1:35" s="16" customFormat="1" ht="30" customHeight="1">
      <c r="A156" s="73" t="s">
        <v>106</v>
      </c>
      <c r="B156" s="72" t="s">
        <v>211</v>
      </c>
      <c r="C156" s="107" t="s">
        <v>4</v>
      </c>
      <c r="D156" s="237">
        <f>+D148</f>
        <v>140</v>
      </c>
      <c r="E156" s="220" t="s">
        <v>106</v>
      </c>
      <c r="F156" s="72" t="s">
        <v>211</v>
      </c>
      <c r="G156" s="107" t="s">
        <v>4</v>
      </c>
      <c r="H156" s="237">
        <f>+H148</f>
        <v>140</v>
      </c>
      <c r="I156" s="218">
        <f>K156/J156</f>
        <v>1.5909090909090908</v>
      </c>
      <c r="J156" s="41">
        <v>2.2</v>
      </c>
      <c r="K156" s="34">
        <v>3.5</v>
      </c>
      <c r="L156" s="34"/>
      <c r="M156" s="34">
        <v>0.1</v>
      </c>
      <c r="N156" s="74">
        <f t="shared" si="56"/>
        <v>3.6</v>
      </c>
      <c r="O156" s="187">
        <f t="shared" si="57"/>
        <v>222.72727272727272</v>
      </c>
      <c r="P156" s="41">
        <f t="shared" si="58"/>
        <v>490</v>
      </c>
      <c r="Q156" s="41">
        <f t="shared" si="59"/>
        <v>0</v>
      </c>
      <c r="R156" s="41">
        <f t="shared" si="60"/>
        <v>14</v>
      </c>
      <c r="S156" s="188">
        <f t="shared" si="61"/>
        <v>504</v>
      </c>
      <c r="T156" s="170">
        <v>0</v>
      </c>
      <c r="U156" s="40">
        <f t="shared" si="62"/>
        <v>0</v>
      </c>
      <c r="V156" s="40">
        <f t="shared" si="63"/>
        <v>0</v>
      </c>
      <c r="W156" s="40">
        <f t="shared" si="64"/>
        <v>0</v>
      </c>
      <c r="X156" s="40">
        <f t="shared" si="65"/>
        <v>0</v>
      </c>
      <c r="Y156" s="40">
        <v>140</v>
      </c>
      <c r="Z156" s="40">
        <f t="shared" si="66"/>
        <v>504</v>
      </c>
      <c r="AA156" s="40">
        <f t="shared" si="55"/>
        <v>0</v>
      </c>
      <c r="AB156" s="43"/>
      <c r="AC156" s="43"/>
      <c r="AD156" s="43"/>
      <c r="AE156" s="43"/>
      <c r="AF156" s="43"/>
      <c r="AG156" s="43"/>
      <c r="AH156" s="43"/>
      <c r="AI156" s="43"/>
    </row>
    <row r="157" spans="1:35" s="16" customFormat="1" ht="17.25" customHeight="1">
      <c r="A157" s="73"/>
      <c r="B157" s="39" t="s">
        <v>212</v>
      </c>
      <c r="C157" s="109" t="s">
        <v>4</v>
      </c>
      <c r="D157" s="230">
        <f>+D156*1.1</f>
        <v>154</v>
      </c>
      <c r="E157" s="220"/>
      <c r="F157" s="39" t="s">
        <v>212</v>
      </c>
      <c r="G157" s="109" t="s">
        <v>4</v>
      </c>
      <c r="H157" s="230">
        <f>+H156*1.1</f>
        <v>154</v>
      </c>
      <c r="I157" s="218"/>
      <c r="J157" s="34"/>
      <c r="K157" s="34"/>
      <c r="L157" s="34">
        <v>6.5</v>
      </c>
      <c r="M157" s="34"/>
      <c r="N157" s="74">
        <f t="shared" si="56"/>
        <v>6.5</v>
      </c>
      <c r="O157" s="187">
        <f t="shared" si="57"/>
        <v>0</v>
      </c>
      <c r="P157" s="41">
        <f t="shared" si="58"/>
        <v>0</v>
      </c>
      <c r="Q157" s="41">
        <f t="shared" si="59"/>
        <v>1001</v>
      </c>
      <c r="R157" s="41">
        <f t="shared" si="60"/>
        <v>0</v>
      </c>
      <c r="S157" s="188">
        <f t="shared" si="61"/>
        <v>1001</v>
      </c>
      <c r="T157" s="170">
        <v>0</v>
      </c>
      <c r="U157" s="40">
        <f t="shared" si="62"/>
        <v>0</v>
      </c>
      <c r="V157" s="40">
        <f t="shared" si="63"/>
        <v>0</v>
      </c>
      <c r="W157" s="40">
        <f t="shared" si="64"/>
        <v>0</v>
      </c>
      <c r="X157" s="40">
        <f t="shared" si="65"/>
        <v>0</v>
      </c>
      <c r="Y157" s="40">
        <v>154</v>
      </c>
      <c r="Z157" s="40">
        <f t="shared" si="66"/>
        <v>1001</v>
      </c>
      <c r="AA157" s="40">
        <f t="shared" si="55"/>
        <v>0</v>
      </c>
      <c r="AB157" s="43"/>
      <c r="AC157" s="43"/>
      <c r="AD157" s="43"/>
      <c r="AE157" s="43"/>
      <c r="AF157" s="43"/>
      <c r="AG157" s="43"/>
      <c r="AH157" s="43"/>
      <c r="AI157" s="43"/>
    </row>
    <row r="158" spans="1:35" s="16" customFormat="1" ht="15" customHeight="1">
      <c r="A158" s="73"/>
      <c r="B158" s="112" t="s">
        <v>213</v>
      </c>
      <c r="C158" s="204" t="s">
        <v>8</v>
      </c>
      <c r="D158" s="230">
        <f>+D156*4</f>
        <v>560</v>
      </c>
      <c r="E158" s="220"/>
      <c r="F158" s="112" t="s">
        <v>213</v>
      </c>
      <c r="G158" s="204" t="s">
        <v>8</v>
      </c>
      <c r="H158" s="230">
        <f>+H156*4</f>
        <v>560</v>
      </c>
      <c r="I158" s="218"/>
      <c r="J158" s="34"/>
      <c r="K158" s="34"/>
      <c r="L158" s="34">
        <v>0.02</v>
      </c>
      <c r="M158" s="34"/>
      <c r="N158" s="74">
        <f t="shared" si="56"/>
        <v>0.02</v>
      </c>
      <c r="O158" s="187">
        <f t="shared" si="57"/>
        <v>0</v>
      </c>
      <c r="P158" s="41">
        <f t="shared" si="58"/>
        <v>0</v>
      </c>
      <c r="Q158" s="41">
        <f t="shared" si="59"/>
        <v>11.200000000000001</v>
      </c>
      <c r="R158" s="41">
        <f t="shared" si="60"/>
        <v>0</v>
      </c>
      <c r="S158" s="188">
        <f t="shared" si="61"/>
        <v>11.200000000000001</v>
      </c>
      <c r="T158" s="170">
        <v>0</v>
      </c>
      <c r="U158" s="40">
        <f t="shared" si="62"/>
        <v>0</v>
      </c>
      <c r="V158" s="40">
        <f t="shared" si="63"/>
        <v>0</v>
      </c>
      <c r="W158" s="40">
        <f t="shared" si="64"/>
        <v>0</v>
      </c>
      <c r="X158" s="40">
        <f t="shared" si="65"/>
        <v>0</v>
      </c>
      <c r="Y158" s="40">
        <v>560</v>
      </c>
      <c r="Z158" s="40">
        <f t="shared" si="66"/>
        <v>11.200000000000001</v>
      </c>
      <c r="AA158" s="40">
        <f t="shared" si="55"/>
        <v>0</v>
      </c>
      <c r="AB158" s="43"/>
      <c r="AC158" s="43"/>
      <c r="AD158" s="43"/>
      <c r="AE158" s="43"/>
      <c r="AF158" s="43"/>
      <c r="AG158" s="43"/>
      <c r="AH158" s="43"/>
      <c r="AI158" s="43"/>
    </row>
    <row r="159" spans="1:35" s="16" customFormat="1" ht="15" customHeight="1">
      <c r="A159" s="73" t="s">
        <v>126</v>
      </c>
      <c r="B159" s="77" t="s">
        <v>214</v>
      </c>
      <c r="C159" s="204" t="s">
        <v>4</v>
      </c>
      <c r="D159" s="230">
        <f>140*0.8</f>
        <v>112</v>
      </c>
      <c r="E159" s="220" t="s">
        <v>126</v>
      </c>
      <c r="F159" s="77" t="s">
        <v>214</v>
      </c>
      <c r="G159" s="204" t="s">
        <v>4</v>
      </c>
      <c r="H159" s="230">
        <f>140*0.8</f>
        <v>112</v>
      </c>
      <c r="I159" s="218">
        <f>K159/J159</f>
        <v>0.3409090909090909</v>
      </c>
      <c r="J159" s="41">
        <v>2.2</v>
      </c>
      <c r="K159" s="34">
        <v>0.75</v>
      </c>
      <c r="L159" s="34">
        <v>1</v>
      </c>
      <c r="M159" s="34">
        <v>0.05</v>
      </c>
      <c r="N159" s="74">
        <f t="shared" si="56"/>
        <v>1.8</v>
      </c>
      <c r="O159" s="187">
        <f t="shared" si="57"/>
        <v>38.18181818181818</v>
      </c>
      <c r="P159" s="41">
        <f t="shared" si="58"/>
        <v>84</v>
      </c>
      <c r="Q159" s="41">
        <f t="shared" si="59"/>
        <v>112</v>
      </c>
      <c r="R159" s="41">
        <f t="shared" si="60"/>
        <v>5.6</v>
      </c>
      <c r="S159" s="188">
        <f t="shared" si="61"/>
        <v>201.6</v>
      </c>
      <c r="T159" s="170">
        <v>0</v>
      </c>
      <c r="U159" s="40">
        <f t="shared" si="62"/>
        <v>0</v>
      </c>
      <c r="V159" s="40">
        <f t="shared" si="63"/>
        <v>0</v>
      </c>
      <c r="W159" s="40">
        <f t="shared" si="64"/>
        <v>0</v>
      </c>
      <c r="X159" s="40">
        <f t="shared" si="65"/>
        <v>0</v>
      </c>
      <c r="Y159" s="40">
        <v>112</v>
      </c>
      <c r="Z159" s="40">
        <f t="shared" si="66"/>
        <v>201.6</v>
      </c>
      <c r="AA159" s="40">
        <f t="shared" si="55"/>
        <v>0</v>
      </c>
      <c r="AB159" s="43"/>
      <c r="AC159" s="43"/>
      <c r="AD159" s="43"/>
      <c r="AE159" s="43"/>
      <c r="AF159" s="43"/>
      <c r="AG159" s="43"/>
      <c r="AH159" s="43"/>
      <c r="AI159" s="43"/>
    </row>
    <row r="160" spans="1:36" s="16" customFormat="1" ht="28.5" customHeight="1">
      <c r="A160" s="73" t="s">
        <v>149</v>
      </c>
      <c r="B160" s="79" t="s">
        <v>215</v>
      </c>
      <c r="C160" s="199" t="s">
        <v>4</v>
      </c>
      <c r="D160" s="229">
        <f>140*0.55</f>
        <v>77</v>
      </c>
      <c r="E160" s="255" t="s">
        <v>411</v>
      </c>
      <c r="F160" s="408" t="s">
        <v>407</v>
      </c>
      <c r="G160" s="199" t="s">
        <v>4</v>
      </c>
      <c r="H160" s="372">
        <f>140*0.55+104*0.22</f>
        <v>99.88</v>
      </c>
      <c r="I160" s="218">
        <f>K160/J160</f>
        <v>1.3636363636363635</v>
      </c>
      <c r="J160" s="41">
        <v>2.2</v>
      </c>
      <c r="K160" s="34">
        <v>3</v>
      </c>
      <c r="L160" s="34"/>
      <c r="M160" s="34">
        <v>0.2</v>
      </c>
      <c r="N160" s="74">
        <f t="shared" si="56"/>
        <v>3.2</v>
      </c>
      <c r="O160" s="187">
        <f t="shared" si="57"/>
        <v>136.2</v>
      </c>
      <c r="P160" s="41">
        <f t="shared" si="58"/>
        <v>299.64</v>
      </c>
      <c r="Q160" s="41">
        <f t="shared" si="59"/>
        <v>0</v>
      </c>
      <c r="R160" s="41">
        <f t="shared" si="60"/>
        <v>19.98</v>
      </c>
      <c r="S160" s="188">
        <f t="shared" si="61"/>
        <v>319.62</v>
      </c>
      <c r="T160" s="170">
        <v>0</v>
      </c>
      <c r="U160" s="40">
        <f t="shared" si="62"/>
        <v>0</v>
      </c>
      <c r="V160" s="40">
        <f t="shared" si="63"/>
        <v>0</v>
      </c>
      <c r="W160" s="40">
        <f t="shared" si="64"/>
        <v>0</v>
      </c>
      <c r="X160" s="40">
        <f t="shared" si="65"/>
        <v>0</v>
      </c>
      <c r="Y160" s="40">
        <v>77</v>
      </c>
      <c r="Z160" s="40">
        <f t="shared" si="66"/>
        <v>246.4</v>
      </c>
      <c r="AA160" s="40">
        <f t="shared" si="55"/>
        <v>73.22</v>
      </c>
      <c r="AB160" s="43"/>
      <c r="AC160" s="43"/>
      <c r="AD160" s="43"/>
      <c r="AE160" s="43"/>
      <c r="AF160" s="43"/>
      <c r="AG160" s="43"/>
      <c r="AH160" s="43"/>
      <c r="AI160" s="43"/>
      <c r="AJ160" s="545"/>
    </row>
    <row r="161" spans="1:36" s="16" customFormat="1" ht="15" customHeight="1">
      <c r="A161" s="73"/>
      <c r="B161" s="38" t="s">
        <v>216</v>
      </c>
      <c r="C161" s="199" t="s">
        <v>4</v>
      </c>
      <c r="D161" s="229">
        <f>+D160*1.1</f>
        <v>84.7</v>
      </c>
      <c r="E161" s="255"/>
      <c r="F161" s="38" t="s">
        <v>216</v>
      </c>
      <c r="G161" s="199" t="s">
        <v>4</v>
      </c>
      <c r="H161" s="372">
        <f>+H160*1.1</f>
        <v>109.86800000000001</v>
      </c>
      <c r="I161" s="218"/>
      <c r="J161" s="34"/>
      <c r="K161" s="34"/>
      <c r="L161" s="34">
        <v>3.65</v>
      </c>
      <c r="M161" s="34"/>
      <c r="N161" s="74">
        <f t="shared" si="56"/>
        <v>3.65</v>
      </c>
      <c r="O161" s="187">
        <f t="shared" si="57"/>
        <v>0</v>
      </c>
      <c r="P161" s="41">
        <f t="shared" si="58"/>
        <v>0</v>
      </c>
      <c r="Q161" s="41">
        <f t="shared" si="59"/>
        <v>401.01820000000004</v>
      </c>
      <c r="R161" s="41">
        <f t="shared" si="60"/>
        <v>0</v>
      </c>
      <c r="S161" s="188">
        <f t="shared" si="61"/>
        <v>401.01820000000004</v>
      </c>
      <c r="T161" s="170">
        <v>0</v>
      </c>
      <c r="U161" s="40">
        <f t="shared" si="62"/>
        <v>0</v>
      </c>
      <c r="V161" s="40">
        <f t="shared" si="63"/>
        <v>0</v>
      </c>
      <c r="W161" s="40">
        <f t="shared" si="64"/>
        <v>0</v>
      </c>
      <c r="X161" s="40">
        <f t="shared" si="65"/>
        <v>0</v>
      </c>
      <c r="Y161" s="40">
        <v>84.7</v>
      </c>
      <c r="Z161" s="40">
        <f t="shared" si="66"/>
        <v>309.15500000000003</v>
      </c>
      <c r="AA161" s="40">
        <f t="shared" si="55"/>
        <v>91.8632</v>
      </c>
      <c r="AB161" s="43"/>
      <c r="AC161" s="43"/>
      <c r="AD161" s="43"/>
      <c r="AE161" s="43"/>
      <c r="AF161" s="43"/>
      <c r="AG161" s="43"/>
      <c r="AH161" s="43"/>
      <c r="AI161" s="43"/>
      <c r="AJ161" s="545"/>
    </row>
    <row r="162" spans="1:36" s="16" customFormat="1" ht="15" customHeight="1">
      <c r="A162" s="73"/>
      <c r="B162" s="38" t="s">
        <v>120</v>
      </c>
      <c r="C162" s="199" t="s">
        <v>8</v>
      </c>
      <c r="D162" s="229">
        <f>+D160*6</f>
        <v>462</v>
      </c>
      <c r="E162" s="255"/>
      <c r="F162" s="38" t="s">
        <v>120</v>
      </c>
      <c r="G162" s="199" t="s">
        <v>8</v>
      </c>
      <c r="H162" s="372">
        <f>+H160*6</f>
        <v>599.28</v>
      </c>
      <c r="I162" s="218"/>
      <c r="J162" s="34"/>
      <c r="K162" s="34"/>
      <c r="L162" s="34">
        <v>0.01</v>
      </c>
      <c r="M162" s="34"/>
      <c r="N162" s="74">
        <f t="shared" si="56"/>
        <v>0.01</v>
      </c>
      <c r="O162" s="187">
        <f t="shared" si="57"/>
        <v>0</v>
      </c>
      <c r="P162" s="41">
        <f t="shared" si="58"/>
        <v>0</v>
      </c>
      <c r="Q162" s="41">
        <f t="shared" si="59"/>
        <v>5.9928</v>
      </c>
      <c r="R162" s="41">
        <f t="shared" si="60"/>
        <v>0</v>
      </c>
      <c r="S162" s="188">
        <f t="shared" si="61"/>
        <v>5.9928</v>
      </c>
      <c r="T162" s="170">
        <v>0</v>
      </c>
      <c r="U162" s="40">
        <f t="shared" si="62"/>
        <v>0</v>
      </c>
      <c r="V162" s="40">
        <f t="shared" si="63"/>
        <v>0</v>
      </c>
      <c r="W162" s="40">
        <f t="shared" si="64"/>
        <v>0</v>
      </c>
      <c r="X162" s="40">
        <f t="shared" si="65"/>
        <v>0</v>
      </c>
      <c r="Y162" s="40">
        <v>462</v>
      </c>
      <c r="Z162" s="40">
        <f t="shared" si="66"/>
        <v>4.62</v>
      </c>
      <c r="AA162" s="40">
        <f t="shared" si="55"/>
        <v>1.3727999999999998</v>
      </c>
      <c r="AB162" s="43"/>
      <c r="AC162" s="43"/>
      <c r="AD162" s="43"/>
      <c r="AE162" s="43"/>
      <c r="AF162" s="43"/>
      <c r="AG162" s="43"/>
      <c r="AH162" s="43"/>
      <c r="AI162" s="43"/>
      <c r="AJ162" s="545"/>
    </row>
    <row r="163" spans="1:35" s="16" customFormat="1" ht="15" customHeight="1">
      <c r="A163" s="73" t="s">
        <v>217</v>
      </c>
      <c r="B163" s="77" t="s">
        <v>218</v>
      </c>
      <c r="C163" s="204" t="s">
        <v>3</v>
      </c>
      <c r="D163" s="230">
        <f>+D25</f>
        <v>54</v>
      </c>
      <c r="E163" s="255" t="s">
        <v>430</v>
      </c>
      <c r="F163" s="77" t="s">
        <v>218</v>
      </c>
      <c r="G163" s="204" t="s">
        <v>3</v>
      </c>
      <c r="H163" s="230">
        <f>+H25</f>
        <v>54</v>
      </c>
      <c r="I163" s="218">
        <f>K163/J163</f>
        <v>1.5909090909090908</v>
      </c>
      <c r="J163" s="41">
        <v>2.2</v>
      </c>
      <c r="K163" s="34">
        <v>3.5</v>
      </c>
      <c r="L163" s="34"/>
      <c r="M163" s="34">
        <v>0.2</v>
      </c>
      <c r="N163" s="74">
        <f t="shared" si="56"/>
        <v>3.7</v>
      </c>
      <c r="O163" s="187">
        <f t="shared" si="57"/>
        <v>85.9090909090909</v>
      </c>
      <c r="P163" s="41">
        <f t="shared" si="58"/>
        <v>189</v>
      </c>
      <c r="Q163" s="41">
        <f t="shared" si="59"/>
        <v>0</v>
      </c>
      <c r="R163" s="41">
        <f t="shared" si="60"/>
        <v>10.8</v>
      </c>
      <c r="S163" s="188">
        <f t="shared" si="61"/>
        <v>199.8</v>
      </c>
      <c r="T163" s="170">
        <v>12.3</v>
      </c>
      <c r="U163" s="40">
        <f t="shared" si="62"/>
        <v>43.050000000000004</v>
      </c>
      <c r="V163" s="40">
        <f t="shared" si="63"/>
        <v>0</v>
      </c>
      <c r="W163" s="40">
        <f t="shared" si="64"/>
        <v>2.4600000000000004</v>
      </c>
      <c r="X163" s="40">
        <f t="shared" si="65"/>
        <v>45.510000000000005</v>
      </c>
      <c r="Y163" s="40">
        <v>39</v>
      </c>
      <c r="Z163" s="40">
        <f t="shared" si="66"/>
        <v>144.3</v>
      </c>
      <c r="AA163" s="40">
        <f t="shared" si="55"/>
        <v>9.990000000000009</v>
      </c>
      <c r="AB163" s="43"/>
      <c r="AC163" s="43"/>
      <c r="AD163" s="43"/>
      <c r="AE163" s="43"/>
      <c r="AF163" s="43"/>
      <c r="AG163" s="43"/>
      <c r="AH163" s="43"/>
      <c r="AI163" s="43"/>
    </row>
    <row r="164" spans="1:35" s="16" customFormat="1" ht="15" customHeight="1">
      <c r="A164" s="73"/>
      <c r="B164" s="39" t="s">
        <v>219</v>
      </c>
      <c r="C164" s="204" t="s">
        <v>4</v>
      </c>
      <c r="D164" s="230">
        <f>+D163*0.6</f>
        <v>32.4</v>
      </c>
      <c r="E164" s="255"/>
      <c r="F164" s="39" t="s">
        <v>219</v>
      </c>
      <c r="G164" s="204" t="s">
        <v>4</v>
      </c>
      <c r="H164" s="230">
        <f>+H163*0.6</f>
        <v>32.4</v>
      </c>
      <c r="I164" s="218"/>
      <c r="J164" s="34"/>
      <c r="K164" s="34"/>
      <c r="L164" s="34">
        <v>6.5</v>
      </c>
      <c r="M164" s="34"/>
      <c r="N164" s="74">
        <f t="shared" si="56"/>
        <v>6.5</v>
      </c>
      <c r="O164" s="187">
        <f t="shared" si="57"/>
        <v>0</v>
      </c>
      <c r="P164" s="41">
        <f t="shared" si="58"/>
        <v>0</v>
      </c>
      <c r="Q164" s="41">
        <f t="shared" si="59"/>
        <v>210.6</v>
      </c>
      <c r="R164" s="41">
        <f t="shared" si="60"/>
        <v>0</v>
      </c>
      <c r="S164" s="188">
        <f t="shared" si="61"/>
        <v>210.6</v>
      </c>
      <c r="T164" s="170">
        <v>0</v>
      </c>
      <c r="U164" s="40">
        <f t="shared" si="62"/>
        <v>0</v>
      </c>
      <c r="V164" s="40">
        <f t="shared" si="63"/>
        <v>0</v>
      </c>
      <c r="W164" s="40">
        <f t="shared" si="64"/>
        <v>0</v>
      </c>
      <c r="X164" s="40">
        <f t="shared" si="65"/>
        <v>0</v>
      </c>
      <c r="Y164" s="40">
        <v>32.4</v>
      </c>
      <c r="Z164" s="40">
        <f t="shared" si="66"/>
        <v>210.6</v>
      </c>
      <c r="AA164" s="40">
        <f t="shared" si="55"/>
        <v>0</v>
      </c>
      <c r="AB164" s="43"/>
      <c r="AC164" s="43"/>
      <c r="AD164" s="43"/>
      <c r="AE164" s="43"/>
      <c r="AF164" s="43"/>
      <c r="AG164" s="43"/>
      <c r="AH164" s="43"/>
      <c r="AI164" s="43"/>
    </row>
    <row r="165" spans="1:35" s="16" customFormat="1" ht="15" customHeight="1">
      <c r="A165" s="73"/>
      <c r="B165" s="100" t="s">
        <v>33</v>
      </c>
      <c r="C165" s="204" t="s">
        <v>6</v>
      </c>
      <c r="D165" s="230">
        <f>+D163*0.01</f>
        <v>0.54</v>
      </c>
      <c r="E165" s="255"/>
      <c r="F165" s="100" t="s">
        <v>33</v>
      </c>
      <c r="G165" s="204" t="s">
        <v>6</v>
      </c>
      <c r="H165" s="230">
        <f>+H163*0.01</f>
        <v>0.54</v>
      </c>
      <c r="I165" s="218"/>
      <c r="J165" s="34"/>
      <c r="K165" s="34"/>
      <c r="L165" s="34">
        <v>110</v>
      </c>
      <c r="M165" s="34"/>
      <c r="N165" s="74">
        <f t="shared" si="56"/>
        <v>110</v>
      </c>
      <c r="O165" s="187">
        <f t="shared" si="57"/>
        <v>0</v>
      </c>
      <c r="P165" s="41">
        <f t="shared" si="58"/>
        <v>0</v>
      </c>
      <c r="Q165" s="41">
        <f t="shared" si="59"/>
        <v>59.400000000000006</v>
      </c>
      <c r="R165" s="41">
        <f t="shared" si="60"/>
        <v>0</v>
      </c>
      <c r="S165" s="188">
        <f t="shared" si="61"/>
        <v>59.400000000000006</v>
      </c>
      <c r="T165" s="170">
        <v>0</v>
      </c>
      <c r="U165" s="40">
        <f t="shared" si="62"/>
        <v>0</v>
      </c>
      <c r="V165" s="40">
        <f t="shared" si="63"/>
        <v>0</v>
      </c>
      <c r="W165" s="40">
        <f t="shared" si="64"/>
        <v>0</v>
      </c>
      <c r="X165" s="40">
        <f t="shared" si="65"/>
        <v>0</v>
      </c>
      <c r="Y165" s="40">
        <v>0.51</v>
      </c>
      <c r="Z165" s="40">
        <f t="shared" si="66"/>
        <v>56.1</v>
      </c>
      <c r="AA165" s="40">
        <f t="shared" si="55"/>
        <v>3.3000000000000043</v>
      </c>
      <c r="AB165" s="43"/>
      <c r="AC165" s="43"/>
      <c r="AD165" s="43"/>
      <c r="AE165" s="43"/>
      <c r="AF165" s="43"/>
      <c r="AG165" s="43"/>
      <c r="AH165" s="43"/>
      <c r="AI165" s="43"/>
    </row>
    <row r="166" spans="1:35" s="16" customFormat="1" ht="15" customHeight="1">
      <c r="A166" s="73"/>
      <c r="B166" s="38" t="s">
        <v>305</v>
      </c>
      <c r="C166" s="204" t="s">
        <v>4</v>
      </c>
      <c r="D166" s="230">
        <f>+D163*1.1</f>
        <v>59.400000000000006</v>
      </c>
      <c r="E166" s="255"/>
      <c r="F166" s="38" t="s">
        <v>305</v>
      </c>
      <c r="G166" s="204" t="s">
        <v>4</v>
      </c>
      <c r="H166" s="230">
        <f>+H163*1.1</f>
        <v>59.400000000000006</v>
      </c>
      <c r="I166" s="218"/>
      <c r="J166" s="34"/>
      <c r="K166" s="34"/>
      <c r="L166" s="34">
        <v>3.65</v>
      </c>
      <c r="M166" s="34"/>
      <c r="N166" s="74">
        <f t="shared" si="56"/>
        <v>3.65</v>
      </c>
      <c r="O166" s="187">
        <f t="shared" si="57"/>
        <v>0</v>
      </c>
      <c r="P166" s="41">
        <f t="shared" si="58"/>
        <v>0</v>
      </c>
      <c r="Q166" s="41">
        <f t="shared" si="59"/>
        <v>216.81</v>
      </c>
      <c r="R166" s="41">
        <f t="shared" si="60"/>
        <v>0</v>
      </c>
      <c r="S166" s="188">
        <f t="shared" si="61"/>
        <v>216.81</v>
      </c>
      <c r="T166" s="170">
        <v>0</v>
      </c>
      <c r="U166" s="40">
        <f t="shared" si="62"/>
        <v>0</v>
      </c>
      <c r="V166" s="40">
        <f t="shared" si="63"/>
        <v>0</v>
      </c>
      <c r="W166" s="40">
        <f t="shared" si="64"/>
        <v>0</v>
      </c>
      <c r="X166" s="40">
        <f t="shared" si="65"/>
        <v>0</v>
      </c>
      <c r="Y166" s="40">
        <v>59.4</v>
      </c>
      <c r="Z166" s="40">
        <f t="shared" si="66"/>
        <v>216.81</v>
      </c>
      <c r="AA166" s="40">
        <f t="shared" si="55"/>
        <v>0</v>
      </c>
      <c r="AB166" s="43"/>
      <c r="AC166" s="43"/>
      <c r="AD166" s="43"/>
      <c r="AE166" s="43"/>
      <c r="AF166" s="43"/>
      <c r="AG166" s="43"/>
      <c r="AH166" s="43"/>
      <c r="AI166" s="43"/>
    </row>
    <row r="167" spans="1:35" s="16" customFormat="1" ht="15" customHeight="1">
      <c r="A167" s="73"/>
      <c r="B167" s="100" t="s">
        <v>220</v>
      </c>
      <c r="C167" s="204" t="s">
        <v>3</v>
      </c>
      <c r="D167" s="230">
        <f>+D163</f>
        <v>54</v>
      </c>
      <c r="E167" s="259"/>
      <c r="F167" s="100" t="s">
        <v>220</v>
      </c>
      <c r="G167" s="204" t="s">
        <v>3</v>
      </c>
      <c r="H167" s="230">
        <f>+H163</f>
        <v>54</v>
      </c>
      <c r="I167" s="218"/>
      <c r="J167" s="34"/>
      <c r="K167" s="34"/>
      <c r="L167" s="34">
        <v>0.35</v>
      </c>
      <c r="M167" s="34"/>
      <c r="N167" s="74">
        <f t="shared" si="56"/>
        <v>0.35</v>
      </c>
      <c r="O167" s="187">
        <f t="shared" si="57"/>
        <v>0</v>
      </c>
      <c r="P167" s="41">
        <f t="shared" si="58"/>
        <v>0</v>
      </c>
      <c r="Q167" s="41">
        <f t="shared" si="59"/>
        <v>18.9</v>
      </c>
      <c r="R167" s="41">
        <f t="shared" si="60"/>
        <v>0</v>
      </c>
      <c r="S167" s="188">
        <f t="shared" si="61"/>
        <v>18.9</v>
      </c>
      <c r="T167" s="170">
        <v>14.3</v>
      </c>
      <c r="U167" s="40">
        <f t="shared" si="62"/>
        <v>0</v>
      </c>
      <c r="V167" s="40">
        <f t="shared" si="63"/>
        <v>5.005</v>
      </c>
      <c r="W167" s="40">
        <f t="shared" si="64"/>
        <v>0</v>
      </c>
      <c r="X167" s="40">
        <f t="shared" si="65"/>
        <v>5.005</v>
      </c>
      <c r="Y167" s="40">
        <v>37</v>
      </c>
      <c r="Z167" s="40">
        <f t="shared" si="66"/>
        <v>12.95</v>
      </c>
      <c r="AA167" s="40">
        <f t="shared" si="55"/>
        <v>0.9450000000000003</v>
      </c>
      <c r="AB167" s="43"/>
      <c r="AC167" s="43"/>
      <c r="AD167" s="43"/>
      <c r="AE167" s="43"/>
      <c r="AF167" s="43"/>
      <c r="AG167" s="43"/>
      <c r="AH167" s="43"/>
      <c r="AI167" s="43"/>
    </row>
    <row r="168" spans="1:45" s="17" customFormat="1" ht="27" customHeight="1">
      <c r="A168" s="73" t="s">
        <v>221</v>
      </c>
      <c r="B168" s="72" t="s">
        <v>222</v>
      </c>
      <c r="C168" s="199" t="s">
        <v>4</v>
      </c>
      <c r="D168" s="229">
        <v>20.4</v>
      </c>
      <c r="E168" s="115" t="s">
        <v>394</v>
      </c>
      <c r="F168" s="409" t="s">
        <v>304</v>
      </c>
      <c r="G168" s="204" t="s">
        <v>435</v>
      </c>
      <c r="H168" s="230">
        <v>20.4</v>
      </c>
      <c r="I168" s="218">
        <f>K168/J168</f>
        <v>0.5</v>
      </c>
      <c r="J168" s="41">
        <v>2.2</v>
      </c>
      <c r="K168" s="34">
        <v>1.1</v>
      </c>
      <c r="L168" s="34"/>
      <c r="M168" s="34">
        <v>0.3</v>
      </c>
      <c r="N168" s="74">
        <f>K168+L168+M168</f>
        <v>1.4000000000000001</v>
      </c>
      <c r="O168" s="187">
        <f>H168*I168</f>
        <v>10.2</v>
      </c>
      <c r="P168" s="41">
        <f>ROUND(H168*K168,2)</f>
        <v>22.44</v>
      </c>
      <c r="Q168" s="41">
        <f>H168*L168</f>
        <v>0</v>
      </c>
      <c r="R168" s="41">
        <f>ROUND(H168*M168,2)</f>
        <v>6.12</v>
      </c>
      <c r="S168" s="188">
        <f>R168+Q168+P168</f>
        <v>28.560000000000002</v>
      </c>
      <c r="T168" s="170">
        <v>9.38</v>
      </c>
      <c r="U168" s="40">
        <f t="shared" si="62"/>
        <v>10.318000000000001</v>
      </c>
      <c r="V168" s="40">
        <f t="shared" si="63"/>
        <v>0</v>
      </c>
      <c r="W168" s="40">
        <f t="shared" si="64"/>
        <v>2.814</v>
      </c>
      <c r="X168" s="40">
        <f t="shared" si="65"/>
        <v>13.132000000000001</v>
      </c>
      <c r="Y168" s="40">
        <v>10</v>
      </c>
      <c r="Z168" s="40">
        <f t="shared" si="66"/>
        <v>14.000000000000002</v>
      </c>
      <c r="AA168" s="40">
        <f t="shared" si="55"/>
        <v>1.427999999999999</v>
      </c>
      <c r="AB168" s="43"/>
      <c r="AC168" s="43"/>
      <c r="AD168" s="43"/>
      <c r="AE168" s="43"/>
      <c r="AF168" s="43"/>
      <c r="AG168" s="43"/>
      <c r="AH168" s="43"/>
      <c r="AI168" s="43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</row>
    <row r="169" spans="1:35" s="16" customFormat="1" ht="15" customHeight="1">
      <c r="A169" s="73"/>
      <c r="B169" s="38" t="s">
        <v>223</v>
      </c>
      <c r="C169" s="199" t="s">
        <v>4</v>
      </c>
      <c r="D169" s="229">
        <f>D168*1.15</f>
        <v>23.459999999999997</v>
      </c>
      <c r="E169" s="260"/>
      <c r="F169" s="407" t="s">
        <v>203</v>
      </c>
      <c r="G169" s="109" t="s">
        <v>4</v>
      </c>
      <c r="H169" s="410">
        <f>H168*1.1</f>
        <v>22.44</v>
      </c>
      <c r="I169" s="218"/>
      <c r="J169" s="34"/>
      <c r="K169" s="34"/>
      <c r="L169" s="34">
        <v>0.98</v>
      </c>
      <c r="M169" s="34"/>
      <c r="N169" s="74">
        <f>K169+L169+M169</f>
        <v>0.98</v>
      </c>
      <c r="O169" s="187">
        <f>H169*I169</f>
        <v>0</v>
      </c>
      <c r="P169" s="41">
        <f>ROUND(H169*K169,2)</f>
        <v>0</v>
      </c>
      <c r="Q169" s="41">
        <f>H169*L169</f>
        <v>21.9912</v>
      </c>
      <c r="R169" s="41">
        <f>ROUND(H169*M169,2)</f>
        <v>0</v>
      </c>
      <c r="S169" s="188">
        <f>R169+Q169+P169</f>
        <v>21.9912</v>
      </c>
      <c r="T169" s="170">
        <v>10.3</v>
      </c>
      <c r="U169" s="40">
        <f t="shared" si="62"/>
        <v>0</v>
      </c>
      <c r="V169" s="40">
        <f t="shared" si="63"/>
        <v>10.094000000000001</v>
      </c>
      <c r="W169" s="40">
        <f t="shared" si="64"/>
        <v>0</v>
      </c>
      <c r="X169" s="40">
        <f t="shared" si="65"/>
        <v>10.094000000000001</v>
      </c>
      <c r="Y169" s="40">
        <v>12</v>
      </c>
      <c r="Z169" s="40">
        <f t="shared" si="66"/>
        <v>11.76</v>
      </c>
      <c r="AA169" s="40">
        <f t="shared" si="55"/>
        <v>0.1371999999999982</v>
      </c>
      <c r="AB169" s="43"/>
      <c r="AC169" s="43"/>
      <c r="AD169" s="43"/>
      <c r="AE169" s="43"/>
      <c r="AF169" s="43"/>
      <c r="AG169" s="43"/>
      <c r="AH169" s="43"/>
      <c r="AI169" s="43"/>
    </row>
    <row r="170" spans="1:35" s="16" customFormat="1" ht="15" customHeight="1">
      <c r="A170" s="113"/>
      <c r="B170" s="43"/>
      <c r="C170" s="43"/>
      <c r="D170" s="289"/>
      <c r="E170" s="260"/>
      <c r="F170" s="407" t="s">
        <v>204</v>
      </c>
      <c r="G170" s="109" t="s">
        <v>4</v>
      </c>
      <c r="H170" s="410">
        <f>H168*1.1</f>
        <v>22.44</v>
      </c>
      <c r="I170" s="218"/>
      <c r="J170" s="34"/>
      <c r="K170" s="34"/>
      <c r="L170" s="34">
        <v>1.08</v>
      </c>
      <c r="M170" s="34"/>
      <c r="N170" s="74">
        <f>K170+L170+M170</f>
        <v>1.08</v>
      </c>
      <c r="O170" s="187">
        <f>H170*I170</f>
        <v>0</v>
      </c>
      <c r="P170" s="41">
        <f>ROUND(H170*K170,2)</f>
        <v>0</v>
      </c>
      <c r="Q170" s="41">
        <f>H170*L170</f>
        <v>24.235200000000003</v>
      </c>
      <c r="R170" s="41">
        <f>ROUND(H170*M170,2)</f>
        <v>0</v>
      </c>
      <c r="S170" s="188">
        <f>R170+Q170+P170</f>
        <v>24.235200000000003</v>
      </c>
      <c r="T170" s="170">
        <v>9.38</v>
      </c>
      <c r="U170" s="40">
        <f t="shared" si="62"/>
        <v>0</v>
      </c>
      <c r="V170" s="40">
        <f t="shared" si="63"/>
        <v>10.130400000000002</v>
      </c>
      <c r="W170" s="40">
        <f t="shared" si="64"/>
        <v>0</v>
      </c>
      <c r="X170" s="40">
        <f t="shared" si="65"/>
        <v>10.130400000000002</v>
      </c>
      <c r="Y170" s="40">
        <v>10</v>
      </c>
      <c r="Z170" s="40">
        <f t="shared" si="66"/>
        <v>10.8</v>
      </c>
      <c r="AA170" s="40">
        <f t="shared" si="55"/>
        <v>3.3048</v>
      </c>
      <c r="AB170" s="43"/>
      <c r="AC170" s="43"/>
      <c r="AD170" s="43"/>
      <c r="AE170" s="43"/>
      <c r="AF170" s="43"/>
      <c r="AG170" s="43"/>
      <c r="AH170" s="43"/>
      <c r="AI170" s="43"/>
    </row>
    <row r="171" spans="1:35" s="16" customFormat="1" ht="15" customHeight="1">
      <c r="A171" s="113"/>
      <c r="B171" s="38" t="s">
        <v>125</v>
      </c>
      <c r="C171" s="199" t="s">
        <v>4</v>
      </c>
      <c r="D171" s="229">
        <f>D168</f>
        <v>20.4</v>
      </c>
      <c r="E171" s="260"/>
      <c r="F171" s="39" t="s">
        <v>125</v>
      </c>
      <c r="G171" s="109" t="s">
        <v>4</v>
      </c>
      <c r="H171" s="230">
        <f>H168</f>
        <v>20.4</v>
      </c>
      <c r="I171" s="218"/>
      <c r="J171" s="34"/>
      <c r="K171" s="34"/>
      <c r="L171" s="34">
        <v>0.5</v>
      </c>
      <c r="M171" s="34"/>
      <c r="N171" s="74">
        <f>K171+L171+M171</f>
        <v>0.5</v>
      </c>
      <c r="O171" s="187">
        <f>H171*I171</f>
        <v>0</v>
      </c>
      <c r="P171" s="41">
        <f>ROUND(H171*K171,2)</f>
        <v>0</v>
      </c>
      <c r="Q171" s="41">
        <f>H171*L171</f>
        <v>10.2</v>
      </c>
      <c r="R171" s="41">
        <f>ROUND(H171*M171,2)</f>
        <v>0</v>
      </c>
      <c r="S171" s="188">
        <f>R171+Q171+P171</f>
        <v>10.2</v>
      </c>
      <c r="T171" s="170"/>
      <c r="U171" s="40"/>
      <c r="V171" s="40"/>
      <c r="W171" s="40"/>
      <c r="X171" s="40"/>
      <c r="Y171" s="40"/>
      <c r="Z171" s="40"/>
      <c r="AA171" s="40"/>
      <c r="AB171" s="43"/>
      <c r="AC171" s="43"/>
      <c r="AD171" s="43"/>
      <c r="AE171" s="43"/>
      <c r="AF171" s="43"/>
      <c r="AG171" s="43"/>
      <c r="AH171" s="43"/>
      <c r="AI171" s="43"/>
    </row>
    <row r="172" spans="1:35" s="16" customFormat="1" ht="45" customHeight="1">
      <c r="A172" s="73" t="s">
        <v>224</v>
      </c>
      <c r="B172" s="32" t="s">
        <v>225</v>
      </c>
      <c r="C172" s="107" t="s">
        <v>4</v>
      </c>
      <c r="D172" s="229">
        <v>46.8</v>
      </c>
      <c r="E172" s="115" t="s">
        <v>224</v>
      </c>
      <c r="F172" s="114" t="s">
        <v>442</v>
      </c>
      <c r="G172" s="205" t="s">
        <v>4</v>
      </c>
      <c r="H172" s="240">
        <v>46.8</v>
      </c>
      <c r="I172" s="218">
        <f>K172/J172</f>
        <v>2.0454545454545454</v>
      </c>
      <c r="J172" s="41">
        <v>2.2</v>
      </c>
      <c r="K172" s="34">
        <v>4.5</v>
      </c>
      <c r="L172" s="34">
        <v>2.5</v>
      </c>
      <c r="M172" s="34">
        <v>0.15</v>
      </c>
      <c r="N172" s="74">
        <f t="shared" si="56"/>
        <v>7.15</v>
      </c>
      <c r="O172" s="187">
        <f t="shared" si="57"/>
        <v>95.72727272727272</v>
      </c>
      <c r="P172" s="41">
        <f t="shared" si="58"/>
        <v>210.6</v>
      </c>
      <c r="Q172" s="41">
        <f t="shared" si="59"/>
        <v>117</v>
      </c>
      <c r="R172" s="41">
        <f t="shared" si="60"/>
        <v>7.02</v>
      </c>
      <c r="S172" s="188">
        <f t="shared" si="61"/>
        <v>334.62</v>
      </c>
      <c r="T172" s="170">
        <v>0</v>
      </c>
      <c r="U172" s="40">
        <f t="shared" si="62"/>
        <v>0</v>
      </c>
      <c r="V172" s="40">
        <f t="shared" si="63"/>
        <v>0</v>
      </c>
      <c r="W172" s="40">
        <f t="shared" si="64"/>
        <v>0</v>
      </c>
      <c r="X172" s="40">
        <f t="shared" si="65"/>
        <v>0</v>
      </c>
      <c r="Y172" s="40">
        <v>46.8</v>
      </c>
      <c r="Z172" s="40">
        <f t="shared" si="66"/>
        <v>334.62</v>
      </c>
      <c r="AA172" s="40">
        <f t="shared" si="55"/>
        <v>0</v>
      </c>
      <c r="AB172" s="43"/>
      <c r="AC172" s="43"/>
      <c r="AD172" s="43"/>
      <c r="AE172" s="43"/>
      <c r="AF172" s="43"/>
      <c r="AG172" s="43"/>
      <c r="AH172" s="43"/>
      <c r="AI172" s="43"/>
    </row>
    <row r="173" spans="1:35" s="16" customFormat="1" ht="24.75" customHeight="1">
      <c r="A173" s="73"/>
      <c r="B173" s="32"/>
      <c r="C173" s="107"/>
      <c r="D173" s="229"/>
      <c r="E173" s="115" t="s">
        <v>412</v>
      </c>
      <c r="F173" s="413" t="s">
        <v>413</v>
      </c>
      <c r="G173" s="206" t="s">
        <v>362</v>
      </c>
      <c r="H173" s="412">
        <v>24.8</v>
      </c>
      <c r="I173" s="222">
        <v>2.79</v>
      </c>
      <c r="J173" s="116">
        <v>2.2</v>
      </c>
      <c r="K173" s="116">
        <v>6.14</v>
      </c>
      <c r="L173" s="116">
        <v>4.3</v>
      </c>
      <c r="M173" s="116">
        <v>1.5</v>
      </c>
      <c r="N173" s="165">
        <f>K173+L173+M173</f>
        <v>11.94</v>
      </c>
      <c r="O173" s="187">
        <f t="shared" si="57"/>
        <v>69.19200000000001</v>
      </c>
      <c r="P173" s="41">
        <f t="shared" si="58"/>
        <v>152.27</v>
      </c>
      <c r="Q173" s="117">
        <f>L173*H173</f>
        <v>106.64</v>
      </c>
      <c r="R173" s="41">
        <f t="shared" si="60"/>
        <v>37.2</v>
      </c>
      <c r="S173" s="194">
        <f>P173+Q173+R173</f>
        <v>296.11</v>
      </c>
      <c r="T173" s="176">
        <f>S173+R173+Q173</f>
        <v>439.95</v>
      </c>
      <c r="U173" s="40"/>
      <c r="V173" s="40"/>
      <c r="W173" s="40"/>
      <c r="X173" s="40"/>
      <c r="Y173" s="40"/>
      <c r="Z173" s="40"/>
      <c r="AA173" s="40"/>
      <c r="AB173" s="43"/>
      <c r="AC173" s="43"/>
      <c r="AD173" s="43"/>
      <c r="AE173" s="43"/>
      <c r="AF173" s="43"/>
      <c r="AG173" s="43"/>
      <c r="AH173" s="43"/>
      <c r="AI173" s="43"/>
    </row>
    <row r="174" spans="1:35" s="16" customFormat="1" ht="15" customHeight="1">
      <c r="A174" s="73" t="s">
        <v>226</v>
      </c>
      <c r="B174" s="32" t="s">
        <v>227</v>
      </c>
      <c r="C174" s="107" t="s">
        <v>8</v>
      </c>
      <c r="D174" s="229">
        <v>4</v>
      </c>
      <c r="E174" s="255" t="s">
        <v>226</v>
      </c>
      <c r="F174" s="32" t="s">
        <v>227</v>
      </c>
      <c r="G174" s="107" t="s">
        <v>8</v>
      </c>
      <c r="H174" s="229">
        <v>4</v>
      </c>
      <c r="I174" s="216"/>
      <c r="J174" s="41"/>
      <c r="K174" s="41">
        <v>6</v>
      </c>
      <c r="L174" s="41"/>
      <c r="M174" s="41">
        <v>0.35</v>
      </c>
      <c r="N174" s="74">
        <f t="shared" si="56"/>
        <v>6.35</v>
      </c>
      <c r="O174" s="187">
        <f t="shared" si="57"/>
        <v>0</v>
      </c>
      <c r="P174" s="41">
        <f t="shared" si="58"/>
        <v>24</v>
      </c>
      <c r="Q174" s="41">
        <f t="shared" si="59"/>
        <v>0</v>
      </c>
      <c r="R174" s="41">
        <f t="shared" si="60"/>
        <v>1.4</v>
      </c>
      <c r="S174" s="188">
        <f t="shared" si="61"/>
        <v>25.4</v>
      </c>
      <c r="T174" s="170"/>
      <c r="U174" s="40">
        <f t="shared" si="62"/>
        <v>0</v>
      </c>
      <c r="V174" s="40">
        <f t="shared" si="63"/>
        <v>0</v>
      </c>
      <c r="W174" s="40">
        <f t="shared" si="64"/>
        <v>0</v>
      </c>
      <c r="X174" s="40">
        <f t="shared" si="65"/>
        <v>0</v>
      </c>
      <c r="Y174" s="40"/>
      <c r="Z174" s="40">
        <f t="shared" si="66"/>
        <v>0</v>
      </c>
      <c r="AA174" s="40">
        <f t="shared" si="55"/>
        <v>25.4</v>
      </c>
      <c r="AB174" s="43"/>
      <c r="AC174" s="43"/>
      <c r="AD174" s="43"/>
      <c r="AE174" s="43"/>
      <c r="AF174" s="43"/>
      <c r="AG174" s="43"/>
      <c r="AH174" s="43"/>
      <c r="AI174" s="43"/>
    </row>
    <row r="175" spans="1:35" s="16" customFormat="1" ht="15" customHeight="1">
      <c r="A175" s="73"/>
      <c r="B175" s="39" t="s">
        <v>228</v>
      </c>
      <c r="C175" s="107" t="s">
        <v>8</v>
      </c>
      <c r="D175" s="229">
        <f>+D174</f>
        <v>4</v>
      </c>
      <c r="E175" s="255"/>
      <c r="F175" s="118" t="s">
        <v>228</v>
      </c>
      <c r="G175" s="107" t="s">
        <v>8</v>
      </c>
      <c r="H175" s="229">
        <f>+H174</f>
        <v>4</v>
      </c>
      <c r="I175" s="216"/>
      <c r="J175" s="41"/>
      <c r="K175" s="41"/>
      <c r="L175" s="41">
        <v>15</v>
      </c>
      <c r="M175" s="41"/>
      <c r="N175" s="74">
        <f t="shared" si="56"/>
        <v>15</v>
      </c>
      <c r="O175" s="187">
        <f t="shared" si="57"/>
        <v>0</v>
      </c>
      <c r="P175" s="41">
        <f t="shared" si="58"/>
        <v>0</v>
      </c>
      <c r="Q175" s="41">
        <f t="shared" si="59"/>
        <v>60</v>
      </c>
      <c r="R175" s="41">
        <f t="shared" si="60"/>
        <v>0</v>
      </c>
      <c r="S175" s="188">
        <f t="shared" si="61"/>
        <v>60</v>
      </c>
      <c r="T175" s="170"/>
      <c r="U175" s="40">
        <f t="shared" si="62"/>
        <v>0</v>
      </c>
      <c r="V175" s="40">
        <f t="shared" si="63"/>
        <v>0</v>
      </c>
      <c r="W175" s="40">
        <f t="shared" si="64"/>
        <v>0</v>
      </c>
      <c r="X175" s="40">
        <f t="shared" si="65"/>
        <v>0</v>
      </c>
      <c r="Y175" s="40"/>
      <c r="Z175" s="40">
        <f t="shared" si="66"/>
        <v>0</v>
      </c>
      <c r="AA175" s="40">
        <f t="shared" si="55"/>
        <v>60</v>
      </c>
      <c r="AB175" s="43"/>
      <c r="AC175" s="43"/>
      <c r="AD175" s="43"/>
      <c r="AE175" s="43"/>
      <c r="AF175" s="43"/>
      <c r="AG175" s="43"/>
      <c r="AH175" s="43"/>
      <c r="AI175" s="43"/>
    </row>
    <row r="176" spans="1:35" s="16" customFormat="1" ht="15" customHeight="1">
      <c r="A176" s="73"/>
      <c r="B176" s="118" t="s">
        <v>125</v>
      </c>
      <c r="C176" s="109" t="s">
        <v>113</v>
      </c>
      <c r="D176" s="230">
        <v>1</v>
      </c>
      <c r="E176" s="218"/>
      <c r="F176" s="118" t="s">
        <v>125</v>
      </c>
      <c r="G176" s="109" t="s">
        <v>113</v>
      </c>
      <c r="H176" s="230">
        <v>1</v>
      </c>
      <c r="I176" s="216"/>
      <c r="J176" s="41"/>
      <c r="K176" s="41"/>
      <c r="L176" s="41">
        <v>20</v>
      </c>
      <c r="M176" s="41"/>
      <c r="N176" s="74">
        <f t="shared" si="56"/>
        <v>20</v>
      </c>
      <c r="O176" s="187">
        <f t="shared" si="57"/>
        <v>0</v>
      </c>
      <c r="P176" s="41">
        <f t="shared" si="58"/>
        <v>0</v>
      </c>
      <c r="Q176" s="41">
        <f t="shared" si="59"/>
        <v>20</v>
      </c>
      <c r="R176" s="41">
        <f t="shared" si="60"/>
        <v>0</v>
      </c>
      <c r="S176" s="188">
        <f t="shared" si="61"/>
        <v>20</v>
      </c>
      <c r="T176" s="170"/>
      <c r="U176" s="40">
        <f t="shared" si="62"/>
        <v>0</v>
      </c>
      <c r="V176" s="40">
        <f t="shared" si="63"/>
        <v>0</v>
      </c>
      <c r="W176" s="40">
        <f t="shared" si="64"/>
        <v>0</v>
      </c>
      <c r="X176" s="40">
        <f t="shared" si="65"/>
        <v>0</v>
      </c>
      <c r="Y176" s="40"/>
      <c r="Z176" s="40">
        <f t="shared" si="66"/>
        <v>0</v>
      </c>
      <c r="AA176" s="40">
        <f t="shared" si="55"/>
        <v>20</v>
      </c>
      <c r="AB176" s="43"/>
      <c r="AC176" s="43"/>
      <c r="AD176" s="43"/>
      <c r="AE176" s="43"/>
      <c r="AF176" s="43"/>
      <c r="AG176" s="43"/>
      <c r="AH176" s="43"/>
      <c r="AI176" s="43"/>
    </row>
    <row r="177" spans="1:35" s="16" customFormat="1" ht="15" customHeight="1">
      <c r="A177" s="73" t="s">
        <v>229</v>
      </c>
      <c r="B177" s="119" t="s">
        <v>230</v>
      </c>
      <c r="C177" s="204" t="s">
        <v>8</v>
      </c>
      <c r="D177" s="230">
        <v>8</v>
      </c>
      <c r="E177" s="218" t="s">
        <v>395</v>
      </c>
      <c r="F177" s="119" t="s">
        <v>230</v>
      </c>
      <c r="G177" s="204" t="s">
        <v>8</v>
      </c>
      <c r="H177" s="401">
        <v>12</v>
      </c>
      <c r="I177" s="218">
        <f>K177/J177</f>
        <v>1.3636363636363635</v>
      </c>
      <c r="J177" s="41">
        <v>2.2</v>
      </c>
      <c r="K177" s="34">
        <v>3</v>
      </c>
      <c r="L177" s="34">
        <v>7.5</v>
      </c>
      <c r="M177" s="34">
        <v>1</v>
      </c>
      <c r="N177" s="74">
        <f t="shared" si="56"/>
        <v>11.5</v>
      </c>
      <c r="O177" s="187">
        <f t="shared" si="57"/>
        <v>16.363636363636363</v>
      </c>
      <c r="P177" s="41">
        <f t="shared" si="58"/>
        <v>36</v>
      </c>
      <c r="Q177" s="41">
        <f t="shared" si="59"/>
        <v>90</v>
      </c>
      <c r="R177" s="41">
        <f t="shared" si="60"/>
        <v>12</v>
      </c>
      <c r="S177" s="188">
        <f t="shared" si="61"/>
        <v>138</v>
      </c>
      <c r="T177" s="170">
        <v>0</v>
      </c>
      <c r="U177" s="40">
        <f t="shared" si="62"/>
        <v>0</v>
      </c>
      <c r="V177" s="40">
        <f t="shared" si="63"/>
        <v>0</v>
      </c>
      <c r="W177" s="40">
        <f t="shared" si="64"/>
        <v>0</v>
      </c>
      <c r="X177" s="40">
        <f t="shared" si="65"/>
        <v>0</v>
      </c>
      <c r="Y177" s="40">
        <v>8</v>
      </c>
      <c r="Z177" s="40">
        <f t="shared" si="66"/>
        <v>92</v>
      </c>
      <c r="AA177" s="40">
        <f t="shared" si="55"/>
        <v>46</v>
      </c>
      <c r="AB177" s="43"/>
      <c r="AC177" s="43"/>
      <c r="AD177" s="43"/>
      <c r="AE177" s="43"/>
      <c r="AF177" s="43"/>
      <c r="AG177" s="43"/>
      <c r="AH177" s="43"/>
      <c r="AI177" s="43"/>
    </row>
    <row r="178" spans="1:35" s="16" customFormat="1" ht="15" customHeight="1">
      <c r="A178" s="70" t="s">
        <v>231</v>
      </c>
      <c r="B178" s="120" t="s">
        <v>105</v>
      </c>
      <c r="C178" s="199" t="s">
        <v>8</v>
      </c>
      <c r="D178" s="229">
        <v>2</v>
      </c>
      <c r="E178" s="251" t="s">
        <v>231</v>
      </c>
      <c r="F178" s="120" t="s">
        <v>455</v>
      </c>
      <c r="G178" s="199" t="s">
        <v>8</v>
      </c>
      <c r="H178" s="229">
        <v>2</v>
      </c>
      <c r="I178" s="218">
        <f>K178/J178</f>
        <v>4.545454545454545</v>
      </c>
      <c r="J178" s="41">
        <v>2.2</v>
      </c>
      <c r="K178" s="34">
        <v>10</v>
      </c>
      <c r="L178" s="34"/>
      <c r="M178" s="34">
        <v>2</v>
      </c>
      <c r="N178" s="74">
        <f t="shared" si="56"/>
        <v>12</v>
      </c>
      <c r="O178" s="187">
        <f t="shared" si="57"/>
        <v>9.09090909090909</v>
      </c>
      <c r="P178" s="41">
        <f t="shared" si="58"/>
        <v>20</v>
      </c>
      <c r="Q178" s="41">
        <f t="shared" si="59"/>
        <v>0</v>
      </c>
      <c r="R178" s="41">
        <f t="shared" si="60"/>
        <v>4</v>
      </c>
      <c r="S178" s="188">
        <f t="shared" si="61"/>
        <v>24</v>
      </c>
      <c r="T178" s="170">
        <v>0</v>
      </c>
      <c r="U178" s="40">
        <f t="shared" si="62"/>
        <v>0</v>
      </c>
      <c r="V178" s="40">
        <f t="shared" si="63"/>
        <v>0</v>
      </c>
      <c r="W178" s="40">
        <f t="shared" si="64"/>
        <v>0</v>
      </c>
      <c r="X178" s="40">
        <f t="shared" si="65"/>
        <v>0</v>
      </c>
      <c r="Y178" s="40">
        <v>2</v>
      </c>
      <c r="Z178" s="40">
        <f t="shared" si="66"/>
        <v>24</v>
      </c>
      <c r="AA178" s="40">
        <f t="shared" si="55"/>
        <v>0</v>
      </c>
      <c r="AB178" s="43"/>
      <c r="AC178" s="43"/>
      <c r="AD178" s="43"/>
      <c r="AE178" s="43"/>
      <c r="AF178" s="43"/>
      <c r="AG178" s="43"/>
      <c r="AH178" s="43"/>
      <c r="AI178" s="43"/>
    </row>
    <row r="179" spans="1:35" s="16" customFormat="1" ht="32.25" customHeight="1">
      <c r="A179" s="121"/>
      <c r="B179" s="118" t="s">
        <v>107</v>
      </c>
      <c r="C179" s="107" t="s">
        <v>8</v>
      </c>
      <c r="D179" s="229">
        <f>+D178</f>
        <v>2</v>
      </c>
      <c r="E179" s="118"/>
      <c r="F179" s="118" t="s">
        <v>107</v>
      </c>
      <c r="G179" s="107" t="s">
        <v>8</v>
      </c>
      <c r="H179" s="229">
        <f>+H178</f>
        <v>2</v>
      </c>
      <c r="I179" s="218"/>
      <c r="J179" s="34"/>
      <c r="K179" s="34"/>
      <c r="L179" s="34">
        <v>120</v>
      </c>
      <c r="M179" s="34"/>
      <c r="N179" s="74">
        <f t="shared" si="56"/>
        <v>120</v>
      </c>
      <c r="O179" s="187">
        <f t="shared" si="57"/>
        <v>0</v>
      </c>
      <c r="P179" s="41">
        <f t="shared" si="58"/>
        <v>0</v>
      </c>
      <c r="Q179" s="41">
        <f t="shared" si="59"/>
        <v>240</v>
      </c>
      <c r="R179" s="41">
        <f t="shared" si="60"/>
        <v>0</v>
      </c>
      <c r="S179" s="188">
        <f t="shared" si="61"/>
        <v>240</v>
      </c>
      <c r="T179" s="170">
        <v>0</v>
      </c>
      <c r="U179" s="40">
        <f t="shared" si="62"/>
        <v>0</v>
      </c>
      <c r="V179" s="40">
        <f t="shared" si="63"/>
        <v>0</v>
      </c>
      <c r="W179" s="40">
        <f t="shared" si="64"/>
        <v>0</v>
      </c>
      <c r="X179" s="40">
        <f t="shared" si="65"/>
        <v>0</v>
      </c>
      <c r="Y179" s="40">
        <v>2</v>
      </c>
      <c r="Z179" s="40">
        <f t="shared" si="66"/>
        <v>240</v>
      </c>
      <c r="AA179" s="40">
        <f t="shared" si="55"/>
        <v>0</v>
      </c>
      <c r="AB179" s="43"/>
      <c r="AC179" s="43"/>
      <c r="AD179" s="43"/>
      <c r="AE179" s="43"/>
      <c r="AF179" s="43"/>
      <c r="AG179" s="43"/>
      <c r="AH179" s="43"/>
      <c r="AI179" s="43"/>
    </row>
    <row r="180" spans="1:35" s="16" customFormat="1" ht="12.75" customHeight="1">
      <c r="A180" s="99" t="s">
        <v>232</v>
      </c>
      <c r="B180" s="122" t="s">
        <v>233</v>
      </c>
      <c r="C180" s="107" t="s">
        <v>234</v>
      </c>
      <c r="D180" s="229">
        <v>33</v>
      </c>
      <c r="E180" s="221" t="s">
        <v>232</v>
      </c>
      <c r="F180" s="122" t="s">
        <v>233</v>
      </c>
      <c r="G180" s="107" t="s">
        <v>234</v>
      </c>
      <c r="H180" s="229">
        <v>33</v>
      </c>
      <c r="I180" s="218">
        <f>K180/J180</f>
        <v>0.9090909090909091</v>
      </c>
      <c r="J180" s="41">
        <v>2.2</v>
      </c>
      <c r="K180" s="41">
        <v>2</v>
      </c>
      <c r="L180" s="41"/>
      <c r="M180" s="41">
        <v>0.2</v>
      </c>
      <c r="N180" s="74">
        <f t="shared" si="56"/>
        <v>2.2</v>
      </c>
      <c r="O180" s="187">
        <f t="shared" si="57"/>
        <v>30</v>
      </c>
      <c r="P180" s="41">
        <f t="shared" si="58"/>
        <v>66</v>
      </c>
      <c r="Q180" s="41">
        <f t="shared" si="59"/>
        <v>0</v>
      </c>
      <c r="R180" s="41">
        <f t="shared" si="60"/>
        <v>6.6</v>
      </c>
      <c r="S180" s="188">
        <f t="shared" si="61"/>
        <v>72.6</v>
      </c>
      <c r="T180" s="170">
        <v>33</v>
      </c>
      <c r="U180" s="40">
        <f t="shared" si="62"/>
        <v>66</v>
      </c>
      <c r="V180" s="40">
        <f t="shared" si="63"/>
        <v>0</v>
      </c>
      <c r="W180" s="40">
        <f t="shared" si="64"/>
        <v>6.6000000000000005</v>
      </c>
      <c r="X180" s="40">
        <f t="shared" si="65"/>
        <v>72.6</v>
      </c>
      <c r="Y180" s="40"/>
      <c r="Z180" s="40">
        <f t="shared" si="66"/>
        <v>0</v>
      </c>
      <c r="AA180" s="40">
        <f t="shared" si="55"/>
        <v>0</v>
      </c>
      <c r="AB180" s="43"/>
      <c r="AC180" s="43"/>
      <c r="AD180" s="43"/>
      <c r="AE180" s="43"/>
      <c r="AF180" s="43"/>
      <c r="AG180" s="43"/>
      <c r="AH180" s="43"/>
      <c r="AI180" s="43"/>
    </row>
    <row r="181" spans="1:35" s="16" customFormat="1" ht="27.75" customHeight="1">
      <c r="A181" s="73" t="s">
        <v>235</v>
      </c>
      <c r="B181" s="123" t="s">
        <v>236</v>
      </c>
      <c r="C181" s="109" t="s">
        <v>3</v>
      </c>
      <c r="D181" s="230">
        <v>144</v>
      </c>
      <c r="E181" s="220" t="s">
        <v>235</v>
      </c>
      <c r="F181" s="123" t="s">
        <v>236</v>
      </c>
      <c r="G181" s="109" t="s">
        <v>3</v>
      </c>
      <c r="H181" s="230">
        <v>144</v>
      </c>
      <c r="I181" s="218">
        <f>K181/J181</f>
        <v>1.4545454545454546</v>
      </c>
      <c r="J181" s="41">
        <v>2.2</v>
      </c>
      <c r="K181" s="34">
        <v>3.2</v>
      </c>
      <c r="L181" s="34">
        <v>6.5</v>
      </c>
      <c r="M181" s="34">
        <v>0.2</v>
      </c>
      <c r="N181" s="74">
        <f t="shared" si="56"/>
        <v>9.899999999999999</v>
      </c>
      <c r="O181" s="187">
        <f t="shared" si="57"/>
        <v>209.45454545454547</v>
      </c>
      <c r="P181" s="41">
        <f t="shared" si="58"/>
        <v>460.8</v>
      </c>
      <c r="Q181" s="41">
        <f t="shared" si="59"/>
        <v>936</v>
      </c>
      <c r="R181" s="41">
        <f t="shared" si="60"/>
        <v>28.8</v>
      </c>
      <c r="S181" s="188">
        <f t="shared" si="61"/>
        <v>1425.6</v>
      </c>
      <c r="T181" s="170">
        <v>12.28</v>
      </c>
      <c r="U181" s="40">
        <f t="shared" si="62"/>
        <v>39.296</v>
      </c>
      <c r="V181" s="40">
        <f t="shared" si="63"/>
        <v>79.82</v>
      </c>
      <c r="W181" s="40">
        <f t="shared" si="64"/>
        <v>2.456</v>
      </c>
      <c r="X181" s="40">
        <f t="shared" si="65"/>
        <v>121.57199999999999</v>
      </c>
      <c r="Y181" s="40">
        <v>131.72</v>
      </c>
      <c r="Z181" s="40">
        <f t="shared" si="66"/>
        <v>1304.0279999999998</v>
      </c>
      <c r="AA181" s="40">
        <f t="shared" si="55"/>
        <v>0</v>
      </c>
      <c r="AB181" s="43"/>
      <c r="AC181" s="43"/>
      <c r="AD181" s="43"/>
      <c r="AE181" s="43"/>
      <c r="AF181" s="43"/>
      <c r="AG181" s="43"/>
      <c r="AH181" s="43"/>
      <c r="AI181" s="43"/>
    </row>
    <row r="182" spans="1:35" s="16" customFormat="1" ht="15" customHeight="1" thickBot="1">
      <c r="A182" s="124" t="s">
        <v>237</v>
      </c>
      <c r="B182" s="125" t="s">
        <v>238</v>
      </c>
      <c r="C182" s="207" t="s">
        <v>113</v>
      </c>
      <c r="D182" s="232">
        <v>1</v>
      </c>
      <c r="E182" s="257" t="s">
        <v>237</v>
      </c>
      <c r="F182" s="125" t="s">
        <v>238</v>
      </c>
      <c r="G182" s="207" t="s">
        <v>113</v>
      </c>
      <c r="H182" s="232">
        <v>1</v>
      </c>
      <c r="I182" s="223">
        <f>K182/J182</f>
        <v>54.54545454545454</v>
      </c>
      <c r="J182" s="50">
        <v>2.2</v>
      </c>
      <c r="K182" s="84">
        <v>120</v>
      </c>
      <c r="L182" s="84">
        <v>185</v>
      </c>
      <c r="M182" s="84">
        <v>20</v>
      </c>
      <c r="N182" s="132">
        <f t="shared" si="56"/>
        <v>325</v>
      </c>
      <c r="O182" s="189">
        <f t="shared" si="57"/>
        <v>54.54545454545454</v>
      </c>
      <c r="P182" s="50">
        <f t="shared" si="58"/>
        <v>120</v>
      </c>
      <c r="Q182" s="50">
        <f t="shared" si="59"/>
        <v>185</v>
      </c>
      <c r="R182" s="50">
        <f t="shared" si="60"/>
        <v>20</v>
      </c>
      <c r="S182" s="190">
        <f t="shared" si="61"/>
        <v>325</v>
      </c>
      <c r="T182" s="171"/>
      <c r="U182" s="83">
        <f t="shared" si="62"/>
        <v>0</v>
      </c>
      <c r="V182" s="83">
        <f t="shared" si="63"/>
        <v>0</v>
      </c>
      <c r="W182" s="83">
        <f t="shared" si="64"/>
        <v>0</v>
      </c>
      <c r="X182" s="83">
        <f t="shared" si="65"/>
        <v>0</v>
      </c>
      <c r="Y182" s="83"/>
      <c r="Z182" s="83">
        <f t="shared" si="66"/>
        <v>0</v>
      </c>
      <c r="AA182" s="83">
        <f t="shared" si="55"/>
        <v>325</v>
      </c>
      <c r="AB182" s="43"/>
      <c r="AC182" s="43"/>
      <c r="AD182" s="43"/>
      <c r="AE182" s="43"/>
      <c r="AF182" s="43"/>
      <c r="AG182" s="43"/>
      <c r="AH182" s="43"/>
      <c r="AI182" s="43"/>
    </row>
    <row r="183" spans="1:39" s="16" customFormat="1" ht="15" customHeight="1" thickBot="1">
      <c r="A183" s="162"/>
      <c r="B183" s="277" t="s">
        <v>336</v>
      </c>
      <c r="C183" s="161"/>
      <c r="D183" s="272"/>
      <c r="E183" s="279"/>
      <c r="F183" s="280"/>
      <c r="G183" s="280"/>
      <c r="H183" s="272"/>
      <c r="I183" s="271"/>
      <c r="J183" s="59"/>
      <c r="K183" s="59"/>
      <c r="L183" s="59"/>
      <c r="M183" s="59"/>
      <c r="N183" s="247"/>
      <c r="O183" s="196">
        <f>SUM(O135:O182)</f>
        <v>2977.110181818181</v>
      </c>
      <c r="P183" s="152">
        <f>SUM(P135:P182)</f>
        <v>6573.690000000001</v>
      </c>
      <c r="Q183" s="152">
        <f>SUM(Q135:Q182)</f>
        <v>13571.4464</v>
      </c>
      <c r="R183" s="152">
        <f>SUM(R135:R182)</f>
        <v>1015.76</v>
      </c>
      <c r="S183" s="273">
        <f>SUM(S135:S182)</f>
        <v>21160.896399999998</v>
      </c>
      <c r="T183" s="177">
        <f aca="true" t="shared" si="67" ref="T183:AI183">SUM(T135:T182)</f>
        <v>540.89</v>
      </c>
      <c r="U183" s="86">
        <f t="shared" si="67"/>
        <v>158.66400000000002</v>
      </c>
      <c r="V183" s="86">
        <f t="shared" si="67"/>
        <v>105.04939999999999</v>
      </c>
      <c r="W183" s="86">
        <f t="shared" si="67"/>
        <v>14.330000000000002</v>
      </c>
      <c r="X183" s="86">
        <f t="shared" si="67"/>
        <v>278.0434</v>
      </c>
      <c r="Y183" s="86">
        <f t="shared" si="67"/>
        <v>18359.59</v>
      </c>
      <c r="Z183" s="86">
        <f t="shared" si="67"/>
        <v>19914.57699999999</v>
      </c>
      <c r="AA183" s="86">
        <f t="shared" si="67"/>
        <v>661.956</v>
      </c>
      <c r="AB183" s="86">
        <f t="shared" si="67"/>
        <v>0</v>
      </c>
      <c r="AC183" s="86">
        <f t="shared" si="67"/>
        <v>0</v>
      </c>
      <c r="AD183" s="86">
        <f t="shared" si="67"/>
        <v>0</v>
      </c>
      <c r="AE183" s="86">
        <f t="shared" si="67"/>
        <v>0</v>
      </c>
      <c r="AF183" s="86">
        <f t="shared" si="67"/>
        <v>0</v>
      </c>
      <c r="AG183" s="86">
        <f t="shared" si="67"/>
        <v>0</v>
      </c>
      <c r="AH183" s="86">
        <f t="shared" si="67"/>
        <v>0</v>
      </c>
      <c r="AI183" s="86">
        <f t="shared" si="67"/>
        <v>0</v>
      </c>
      <c r="AJ183" s="18"/>
      <c r="AK183" s="18"/>
      <c r="AL183" s="18"/>
      <c r="AM183" s="19"/>
    </row>
    <row r="184" spans="1:35" s="16" customFormat="1" ht="49.5" customHeight="1">
      <c r="A184" s="89" t="s">
        <v>65</v>
      </c>
      <c r="B184" s="278" t="s">
        <v>438</v>
      </c>
      <c r="C184" s="156" t="s">
        <v>4</v>
      </c>
      <c r="D184" s="233">
        <f>+D18</f>
        <v>36.04</v>
      </c>
      <c r="E184" s="253" t="s">
        <v>65</v>
      </c>
      <c r="F184" s="278" t="s">
        <v>438</v>
      </c>
      <c r="G184" s="156" t="s">
        <v>4</v>
      </c>
      <c r="H184" s="233">
        <f>+H18</f>
        <v>36.04</v>
      </c>
      <c r="I184" s="85"/>
      <c r="J184" s="68"/>
      <c r="K184" s="68"/>
      <c r="L184" s="68"/>
      <c r="M184" s="68"/>
      <c r="N184" s="156"/>
      <c r="O184" s="134"/>
      <c r="P184" s="68"/>
      <c r="Q184" s="68"/>
      <c r="R184" s="68"/>
      <c r="S184" s="186"/>
      <c r="T184" s="170"/>
      <c r="U184" s="40"/>
      <c r="V184" s="40"/>
      <c r="W184" s="40"/>
      <c r="X184" s="40"/>
      <c r="Y184" s="40"/>
      <c r="Z184" s="40"/>
      <c r="AA184" s="40"/>
      <c r="AB184" s="43"/>
      <c r="AC184" s="43"/>
      <c r="AD184" s="43"/>
      <c r="AE184" s="43"/>
      <c r="AF184" s="43"/>
      <c r="AG184" s="43"/>
      <c r="AH184" s="43"/>
      <c r="AI184" s="43"/>
    </row>
    <row r="185" spans="1:35" s="16" customFormat="1" ht="28.5" customHeight="1">
      <c r="A185" s="73" t="s">
        <v>66</v>
      </c>
      <c r="B185" s="32" t="s">
        <v>12</v>
      </c>
      <c r="C185" s="109" t="s">
        <v>439</v>
      </c>
      <c r="D185" s="230">
        <f>+D184</f>
        <v>36.04</v>
      </c>
      <c r="E185" s="220" t="s">
        <v>66</v>
      </c>
      <c r="F185" s="32" t="s">
        <v>12</v>
      </c>
      <c r="G185" s="109" t="s">
        <v>439</v>
      </c>
      <c r="H185" s="230">
        <f>+H184</f>
        <v>36.04</v>
      </c>
      <c r="I185" s="218">
        <f>K185/J185</f>
        <v>2.954545454545454</v>
      </c>
      <c r="J185" s="41">
        <v>2.2</v>
      </c>
      <c r="K185" s="34">
        <v>6.5</v>
      </c>
      <c r="L185" s="34"/>
      <c r="M185" s="34">
        <v>1.05</v>
      </c>
      <c r="N185" s="74">
        <f aca="true" t="shared" si="68" ref="N185:N194">K185+L185+M185</f>
        <v>7.55</v>
      </c>
      <c r="O185" s="187">
        <f aca="true" t="shared" si="69" ref="O185:O194">H185*I185</f>
        <v>106.48181818181817</v>
      </c>
      <c r="P185" s="41">
        <f aca="true" t="shared" si="70" ref="P185:P194">ROUND(H185*K185,2)</f>
        <v>234.26</v>
      </c>
      <c r="Q185" s="41">
        <f aca="true" t="shared" si="71" ref="Q185:Q194">H185*L185</f>
        <v>0</v>
      </c>
      <c r="R185" s="41">
        <f aca="true" t="shared" si="72" ref="R185:R194">ROUND(H185*M185,2)</f>
        <v>37.84</v>
      </c>
      <c r="S185" s="188">
        <f aca="true" t="shared" si="73" ref="S185:S194">R185+Q185+P185</f>
        <v>272.1</v>
      </c>
      <c r="T185" s="178">
        <v>28.2</v>
      </c>
      <c r="U185" s="40">
        <f aca="true" t="shared" si="74" ref="U185:U194">T185*K185</f>
        <v>183.29999999999998</v>
      </c>
      <c r="V185" s="40">
        <f aca="true" t="shared" si="75" ref="V185:V194">T185*L185</f>
        <v>0</v>
      </c>
      <c r="W185" s="40">
        <f aca="true" t="shared" si="76" ref="W185:W194">T185*M185</f>
        <v>29.61</v>
      </c>
      <c r="X185" s="40">
        <f aca="true" t="shared" si="77" ref="X185:X193">U185+V185+W185</f>
        <v>212.90999999999997</v>
      </c>
      <c r="Y185" s="128">
        <v>6</v>
      </c>
      <c r="Z185" s="40">
        <f t="shared" si="66"/>
        <v>45.3</v>
      </c>
      <c r="AA185" s="40">
        <f aca="true" t="shared" si="78" ref="AA185:AA194">S185-X185-Z185</f>
        <v>13.890000000000057</v>
      </c>
      <c r="AB185" s="43"/>
      <c r="AC185" s="43"/>
      <c r="AD185" s="43"/>
      <c r="AE185" s="43"/>
      <c r="AF185" s="43"/>
      <c r="AG185" s="43"/>
      <c r="AH185" s="43"/>
      <c r="AI185" s="43"/>
    </row>
    <row r="186" spans="1:35" s="16" customFormat="1" ht="15" customHeight="1">
      <c r="A186" s="70"/>
      <c r="B186" s="38" t="s">
        <v>239</v>
      </c>
      <c r="C186" s="109" t="s">
        <v>4</v>
      </c>
      <c r="D186" s="230">
        <f>D185</f>
        <v>36.04</v>
      </c>
      <c r="E186" s="251"/>
      <c r="F186" s="38" t="s">
        <v>239</v>
      </c>
      <c r="G186" s="109" t="s">
        <v>4</v>
      </c>
      <c r="H186" s="230">
        <f>H185</f>
        <v>36.04</v>
      </c>
      <c r="I186" s="218"/>
      <c r="J186" s="34"/>
      <c r="K186" s="34"/>
      <c r="L186" s="34">
        <v>55</v>
      </c>
      <c r="M186" s="34"/>
      <c r="N186" s="74">
        <f t="shared" si="68"/>
        <v>55</v>
      </c>
      <c r="O186" s="187">
        <f t="shared" si="69"/>
        <v>0</v>
      </c>
      <c r="P186" s="41">
        <f t="shared" si="70"/>
        <v>0</v>
      </c>
      <c r="Q186" s="41">
        <f t="shared" si="71"/>
        <v>1982.2</v>
      </c>
      <c r="R186" s="41">
        <f t="shared" si="72"/>
        <v>0</v>
      </c>
      <c r="S186" s="188">
        <f t="shared" si="73"/>
        <v>1982.2</v>
      </c>
      <c r="T186" s="178">
        <v>28.2</v>
      </c>
      <c r="U186" s="40">
        <f t="shared" si="74"/>
        <v>0</v>
      </c>
      <c r="V186" s="40">
        <f t="shared" si="75"/>
        <v>1551</v>
      </c>
      <c r="W186" s="40">
        <f t="shared" si="76"/>
        <v>0</v>
      </c>
      <c r="X186" s="40">
        <f t="shared" si="77"/>
        <v>1551</v>
      </c>
      <c r="Y186" s="128">
        <v>6</v>
      </c>
      <c r="Z186" s="40">
        <f t="shared" si="66"/>
        <v>330</v>
      </c>
      <c r="AA186" s="40">
        <f t="shared" si="78"/>
        <v>101.20000000000005</v>
      </c>
      <c r="AB186" s="43"/>
      <c r="AC186" s="43"/>
      <c r="AD186" s="43"/>
      <c r="AE186" s="43"/>
      <c r="AF186" s="43"/>
      <c r="AG186" s="43"/>
      <c r="AH186" s="43"/>
      <c r="AI186" s="43"/>
    </row>
    <row r="187" spans="1:35" s="16" customFormat="1" ht="15" customHeight="1">
      <c r="A187" s="70"/>
      <c r="B187" s="35" t="s">
        <v>127</v>
      </c>
      <c r="C187" s="199" t="s">
        <v>4</v>
      </c>
      <c r="D187" s="229">
        <f>D185</f>
        <v>36.04</v>
      </c>
      <c r="E187" s="251"/>
      <c r="F187" s="35" t="s">
        <v>127</v>
      </c>
      <c r="G187" s="199" t="s">
        <v>4</v>
      </c>
      <c r="H187" s="229">
        <f>H185</f>
        <v>36.04</v>
      </c>
      <c r="I187" s="218"/>
      <c r="J187" s="34"/>
      <c r="K187" s="34"/>
      <c r="L187" s="34">
        <v>5</v>
      </c>
      <c r="M187" s="34"/>
      <c r="N187" s="74">
        <f t="shared" si="68"/>
        <v>5</v>
      </c>
      <c r="O187" s="187">
        <f t="shared" si="69"/>
        <v>0</v>
      </c>
      <c r="P187" s="41">
        <f t="shared" si="70"/>
        <v>0</v>
      </c>
      <c r="Q187" s="41">
        <f t="shared" si="71"/>
        <v>180.2</v>
      </c>
      <c r="R187" s="41">
        <f t="shared" si="72"/>
        <v>0</v>
      </c>
      <c r="S187" s="188">
        <f t="shared" si="73"/>
        <v>180.2</v>
      </c>
      <c r="T187" s="178">
        <v>28.2</v>
      </c>
      <c r="U187" s="40">
        <f t="shared" si="74"/>
        <v>0</v>
      </c>
      <c r="V187" s="40">
        <f t="shared" si="75"/>
        <v>141</v>
      </c>
      <c r="W187" s="40">
        <f t="shared" si="76"/>
        <v>0</v>
      </c>
      <c r="X187" s="40">
        <f t="shared" si="77"/>
        <v>141</v>
      </c>
      <c r="Y187" s="128">
        <v>6</v>
      </c>
      <c r="Z187" s="40">
        <f t="shared" si="66"/>
        <v>30</v>
      </c>
      <c r="AA187" s="40">
        <f t="shared" si="78"/>
        <v>9.199999999999989</v>
      </c>
      <c r="AB187" s="43"/>
      <c r="AC187" s="43"/>
      <c r="AD187" s="43"/>
      <c r="AE187" s="43"/>
      <c r="AF187" s="43"/>
      <c r="AG187" s="43"/>
      <c r="AH187" s="43"/>
      <c r="AI187" s="43"/>
    </row>
    <row r="188" spans="1:35" s="16" customFormat="1" ht="15" customHeight="1">
      <c r="A188" s="70"/>
      <c r="B188" s="35" t="s">
        <v>128</v>
      </c>
      <c r="C188" s="199" t="s">
        <v>4</v>
      </c>
      <c r="D188" s="229">
        <f>D185</f>
        <v>36.04</v>
      </c>
      <c r="E188" s="251"/>
      <c r="F188" s="35" t="s">
        <v>128</v>
      </c>
      <c r="G188" s="199" t="s">
        <v>4</v>
      </c>
      <c r="H188" s="229">
        <f>H185</f>
        <v>36.04</v>
      </c>
      <c r="I188" s="218"/>
      <c r="J188" s="34"/>
      <c r="K188" s="34"/>
      <c r="L188" s="34">
        <v>1</v>
      </c>
      <c r="M188" s="34"/>
      <c r="N188" s="74">
        <f t="shared" si="68"/>
        <v>1</v>
      </c>
      <c r="O188" s="187">
        <f t="shared" si="69"/>
        <v>0</v>
      </c>
      <c r="P188" s="41">
        <f t="shared" si="70"/>
        <v>0</v>
      </c>
      <c r="Q188" s="41">
        <f t="shared" si="71"/>
        <v>36.04</v>
      </c>
      <c r="R188" s="41">
        <f t="shared" si="72"/>
        <v>0</v>
      </c>
      <c r="S188" s="188">
        <f t="shared" si="73"/>
        <v>36.04</v>
      </c>
      <c r="T188" s="178">
        <v>28.2</v>
      </c>
      <c r="U188" s="40">
        <f t="shared" si="74"/>
        <v>0</v>
      </c>
      <c r="V188" s="40">
        <f t="shared" si="75"/>
        <v>28.2</v>
      </c>
      <c r="W188" s="40">
        <f t="shared" si="76"/>
        <v>0</v>
      </c>
      <c r="X188" s="40">
        <f t="shared" si="77"/>
        <v>28.2</v>
      </c>
      <c r="Y188" s="128">
        <v>6</v>
      </c>
      <c r="Z188" s="40">
        <f t="shared" si="66"/>
        <v>6</v>
      </c>
      <c r="AA188" s="40">
        <f t="shared" si="78"/>
        <v>1.8399999999999999</v>
      </c>
      <c r="AB188" s="43"/>
      <c r="AC188" s="43"/>
      <c r="AD188" s="43"/>
      <c r="AE188" s="43"/>
      <c r="AF188" s="43"/>
      <c r="AG188" s="43"/>
      <c r="AH188" s="43"/>
      <c r="AI188" s="43"/>
    </row>
    <row r="189" spans="1:35" s="16" customFormat="1" ht="15" customHeight="1">
      <c r="A189" s="99"/>
      <c r="B189" s="39" t="s">
        <v>119</v>
      </c>
      <c r="C189" s="109" t="s">
        <v>118</v>
      </c>
      <c r="D189" s="230">
        <f>+D184*0.3</f>
        <v>10.812</v>
      </c>
      <c r="E189" s="221"/>
      <c r="F189" s="39" t="s">
        <v>119</v>
      </c>
      <c r="G189" s="109" t="s">
        <v>118</v>
      </c>
      <c r="H189" s="230">
        <f>+H184*0.3</f>
        <v>10.812</v>
      </c>
      <c r="I189" s="218"/>
      <c r="J189" s="34"/>
      <c r="K189" s="34"/>
      <c r="L189" s="34">
        <v>1.91</v>
      </c>
      <c r="M189" s="34"/>
      <c r="N189" s="74">
        <f t="shared" si="68"/>
        <v>1.91</v>
      </c>
      <c r="O189" s="187">
        <f t="shared" si="69"/>
        <v>0</v>
      </c>
      <c r="P189" s="41">
        <f t="shared" si="70"/>
        <v>0</v>
      </c>
      <c r="Q189" s="41">
        <f t="shared" si="71"/>
        <v>20.65092</v>
      </c>
      <c r="R189" s="41">
        <f t="shared" si="72"/>
        <v>0</v>
      </c>
      <c r="S189" s="188">
        <f t="shared" si="73"/>
        <v>20.65092</v>
      </c>
      <c r="T189" s="178">
        <v>8.2</v>
      </c>
      <c r="U189" s="40">
        <f t="shared" si="74"/>
        <v>0</v>
      </c>
      <c r="V189" s="40">
        <f t="shared" si="75"/>
        <v>15.661999999999997</v>
      </c>
      <c r="W189" s="40">
        <f t="shared" si="76"/>
        <v>0</v>
      </c>
      <c r="X189" s="40">
        <f t="shared" si="77"/>
        <v>15.661999999999997</v>
      </c>
      <c r="Y189" s="128">
        <v>2</v>
      </c>
      <c r="Z189" s="40">
        <f t="shared" si="66"/>
        <v>3.82</v>
      </c>
      <c r="AA189" s="40">
        <f t="shared" si="78"/>
        <v>1.1689200000000022</v>
      </c>
      <c r="AB189" s="43"/>
      <c r="AC189" s="43"/>
      <c r="AD189" s="43"/>
      <c r="AE189" s="43"/>
      <c r="AF189" s="43"/>
      <c r="AG189" s="43"/>
      <c r="AH189" s="43"/>
      <c r="AI189" s="43"/>
    </row>
    <row r="190" spans="1:35" s="16" customFormat="1" ht="15" customHeight="1">
      <c r="A190" s="70" t="s">
        <v>67</v>
      </c>
      <c r="B190" s="97" t="s">
        <v>129</v>
      </c>
      <c r="C190" s="199" t="s">
        <v>3</v>
      </c>
      <c r="D190" s="229">
        <v>56</v>
      </c>
      <c r="E190" s="251" t="s">
        <v>67</v>
      </c>
      <c r="F190" s="97" t="s">
        <v>129</v>
      </c>
      <c r="G190" s="199" t="s">
        <v>3</v>
      </c>
      <c r="H190" s="229">
        <v>56</v>
      </c>
      <c r="I190" s="218">
        <f>K190/J190</f>
        <v>1</v>
      </c>
      <c r="J190" s="41">
        <v>2.2</v>
      </c>
      <c r="K190" s="34">
        <v>2.2</v>
      </c>
      <c r="L190" s="34"/>
      <c r="M190" s="34">
        <v>0.5</v>
      </c>
      <c r="N190" s="74">
        <f t="shared" si="68"/>
        <v>2.7</v>
      </c>
      <c r="O190" s="187">
        <f t="shared" si="69"/>
        <v>56</v>
      </c>
      <c r="P190" s="41">
        <f t="shared" si="70"/>
        <v>123.2</v>
      </c>
      <c r="Q190" s="41">
        <f t="shared" si="71"/>
        <v>0</v>
      </c>
      <c r="R190" s="41">
        <f t="shared" si="72"/>
        <v>28</v>
      </c>
      <c r="S190" s="188">
        <f t="shared" si="73"/>
        <v>151.2</v>
      </c>
      <c r="T190" s="174">
        <v>53.2</v>
      </c>
      <c r="U190" s="40">
        <f t="shared" si="74"/>
        <v>117.04000000000002</v>
      </c>
      <c r="V190" s="40">
        <f t="shared" si="75"/>
        <v>0</v>
      </c>
      <c r="W190" s="40">
        <f t="shared" si="76"/>
        <v>26.6</v>
      </c>
      <c r="X190" s="40">
        <f t="shared" si="77"/>
        <v>143.64000000000001</v>
      </c>
      <c r="Y190" s="128"/>
      <c r="Z190" s="40">
        <f t="shared" si="66"/>
        <v>0</v>
      </c>
      <c r="AA190" s="40">
        <f t="shared" si="78"/>
        <v>7.559999999999974</v>
      </c>
      <c r="AB190" s="43"/>
      <c r="AC190" s="43"/>
      <c r="AD190" s="43"/>
      <c r="AE190" s="43"/>
      <c r="AF190" s="43"/>
      <c r="AG190" s="43"/>
      <c r="AH190" s="43"/>
      <c r="AI190" s="43"/>
    </row>
    <row r="191" spans="1:35" s="16" customFormat="1" ht="15" customHeight="1">
      <c r="A191" s="70"/>
      <c r="B191" s="35" t="s">
        <v>130</v>
      </c>
      <c r="C191" s="199" t="s">
        <v>3</v>
      </c>
      <c r="D191" s="229">
        <f>D190*1.23</f>
        <v>68.88</v>
      </c>
      <c r="E191" s="251"/>
      <c r="F191" s="35" t="s">
        <v>130</v>
      </c>
      <c r="G191" s="199" t="s">
        <v>3</v>
      </c>
      <c r="H191" s="229">
        <f>H190*1.23</f>
        <v>68.88</v>
      </c>
      <c r="I191" s="218"/>
      <c r="J191" s="34"/>
      <c r="K191" s="34"/>
      <c r="L191" s="34">
        <v>4.5</v>
      </c>
      <c r="M191" s="34"/>
      <c r="N191" s="74">
        <f t="shared" si="68"/>
        <v>4.5</v>
      </c>
      <c r="O191" s="187">
        <f t="shared" si="69"/>
        <v>0</v>
      </c>
      <c r="P191" s="41">
        <f t="shared" si="70"/>
        <v>0</v>
      </c>
      <c r="Q191" s="41">
        <f t="shared" si="71"/>
        <v>309.96</v>
      </c>
      <c r="R191" s="41">
        <f t="shared" si="72"/>
        <v>0</v>
      </c>
      <c r="S191" s="188">
        <f t="shared" si="73"/>
        <v>309.96</v>
      </c>
      <c r="T191" s="174">
        <f>T190*1.23</f>
        <v>65.436</v>
      </c>
      <c r="U191" s="40">
        <f t="shared" si="74"/>
        <v>0</v>
      </c>
      <c r="V191" s="40">
        <f t="shared" si="75"/>
        <v>294.46200000000005</v>
      </c>
      <c r="W191" s="40">
        <f t="shared" si="76"/>
        <v>0</v>
      </c>
      <c r="X191" s="40">
        <f t="shared" si="77"/>
        <v>294.46200000000005</v>
      </c>
      <c r="Y191" s="128"/>
      <c r="Z191" s="40">
        <f t="shared" si="66"/>
        <v>0</v>
      </c>
      <c r="AA191" s="40">
        <f t="shared" si="78"/>
        <v>15.497999999999934</v>
      </c>
      <c r="AB191" s="43"/>
      <c r="AC191" s="43"/>
      <c r="AD191" s="43"/>
      <c r="AE191" s="43"/>
      <c r="AF191" s="43"/>
      <c r="AG191" s="43"/>
      <c r="AH191" s="43"/>
      <c r="AI191" s="43"/>
    </row>
    <row r="192" spans="1:35" s="16" customFormat="1" ht="15" customHeight="1">
      <c r="A192" s="70"/>
      <c r="B192" s="35" t="s">
        <v>127</v>
      </c>
      <c r="C192" s="199" t="s">
        <v>3</v>
      </c>
      <c r="D192" s="229">
        <f>D190</f>
        <v>56</v>
      </c>
      <c r="E192" s="251"/>
      <c r="F192" s="35" t="s">
        <v>127</v>
      </c>
      <c r="G192" s="199" t="s">
        <v>3</v>
      </c>
      <c r="H192" s="229">
        <f>H190</f>
        <v>56</v>
      </c>
      <c r="I192" s="218"/>
      <c r="J192" s="34"/>
      <c r="K192" s="34"/>
      <c r="L192" s="34">
        <v>0.25</v>
      </c>
      <c r="M192" s="34"/>
      <c r="N192" s="74">
        <f t="shared" si="68"/>
        <v>0.25</v>
      </c>
      <c r="O192" s="187">
        <f t="shared" si="69"/>
        <v>0</v>
      </c>
      <c r="P192" s="41">
        <f t="shared" si="70"/>
        <v>0</v>
      </c>
      <c r="Q192" s="41">
        <f t="shared" si="71"/>
        <v>14</v>
      </c>
      <c r="R192" s="41">
        <f t="shared" si="72"/>
        <v>0</v>
      </c>
      <c r="S192" s="188">
        <f t="shared" si="73"/>
        <v>14</v>
      </c>
      <c r="T192" s="174">
        <f>T190</f>
        <v>53.2</v>
      </c>
      <c r="U192" s="40">
        <f t="shared" si="74"/>
        <v>0</v>
      </c>
      <c r="V192" s="40">
        <f t="shared" si="75"/>
        <v>13.3</v>
      </c>
      <c r="W192" s="40">
        <f t="shared" si="76"/>
        <v>0</v>
      </c>
      <c r="X192" s="40">
        <f t="shared" si="77"/>
        <v>13.3</v>
      </c>
      <c r="Y192" s="128"/>
      <c r="Z192" s="40">
        <f t="shared" si="66"/>
        <v>0</v>
      </c>
      <c r="AA192" s="40">
        <f t="shared" si="78"/>
        <v>0.6999999999999993</v>
      </c>
      <c r="AB192" s="43"/>
      <c r="AC192" s="43"/>
      <c r="AD192" s="43"/>
      <c r="AE192" s="43"/>
      <c r="AF192" s="43"/>
      <c r="AG192" s="43"/>
      <c r="AH192" s="43"/>
      <c r="AI192" s="43"/>
    </row>
    <row r="193" spans="1:35" s="16" customFormat="1" ht="15" customHeight="1">
      <c r="A193" s="73"/>
      <c r="B193" s="39" t="s">
        <v>125</v>
      </c>
      <c r="C193" s="204" t="s">
        <v>3</v>
      </c>
      <c r="D193" s="230">
        <f>+D190</f>
        <v>56</v>
      </c>
      <c r="E193" s="220"/>
      <c r="F193" s="39" t="s">
        <v>125</v>
      </c>
      <c r="G193" s="204" t="s">
        <v>3</v>
      </c>
      <c r="H193" s="230">
        <f>+H190</f>
        <v>56</v>
      </c>
      <c r="I193" s="218"/>
      <c r="J193" s="34"/>
      <c r="K193" s="34"/>
      <c r="L193" s="34">
        <v>0.2</v>
      </c>
      <c r="M193" s="34"/>
      <c r="N193" s="74">
        <f t="shared" si="68"/>
        <v>0.2</v>
      </c>
      <c r="O193" s="187">
        <f t="shared" si="69"/>
        <v>0</v>
      </c>
      <c r="P193" s="41">
        <f t="shared" si="70"/>
        <v>0</v>
      </c>
      <c r="Q193" s="41">
        <f t="shared" si="71"/>
        <v>11.200000000000001</v>
      </c>
      <c r="R193" s="41">
        <f t="shared" si="72"/>
        <v>0</v>
      </c>
      <c r="S193" s="188">
        <f t="shared" si="73"/>
        <v>11.200000000000001</v>
      </c>
      <c r="T193" s="179">
        <f>+T190</f>
        <v>53.2</v>
      </c>
      <c r="U193" s="40">
        <f t="shared" si="74"/>
        <v>0</v>
      </c>
      <c r="V193" s="40">
        <f t="shared" si="75"/>
        <v>10.64</v>
      </c>
      <c r="W193" s="40">
        <f t="shared" si="76"/>
        <v>0</v>
      </c>
      <c r="X193" s="40">
        <f t="shared" si="77"/>
        <v>10.64</v>
      </c>
      <c r="Y193" s="128"/>
      <c r="Z193" s="40">
        <f t="shared" si="66"/>
        <v>0</v>
      </c>
      <c r="AA193" s="40">
        <f t="shared" si="78"/>
        <v>0.5600000000000005</v>
      </c>
      <c r="AB193" s="43"/>
      <c r="AC193" s="43"/>
      <c r="AD193" s="43"/>
      <c r="AE193" s="43"/>
      <c r="AF193" s="43"/>
      <c r="AG193" s="43"/>
      <c r="AH193" s="43"/>
      <c r="AI193" s="43"/>
    </row>
    <row r="194" spans="1:35" s="16" customFormat="1" ht="28.5" customHeight="1" thickBot="1">
      <c r="A194" s="129" t="s">
        <v>68</v>
      </c>
      <c r="B194" s="130" t="s">
        <v>69</v>
      </c>
      <c r="C194" s="208" t="s">
        <v>4</v>
      </c>
      <c r="D194" s="241">
        <f>115*0.25</f>
        <v>28.75</v>
      </c>
      <c r="E194" s="252" t="s">
        <v>68</v>
      </c>
      <c r="F194" s="130" t="s">
        <v>69</v>
      </c>
      <c r="G194" s="208" t="s">
        <v>4</v>
      </c>
      <c r="H194" s="241">
        <f>115*0.25</f>
        <v>28.75</v>
      </c>
      <c r="I194" s="223">
        <f>K194/J194</f>
        <v>1.75</v>
      </c>
      <c r="J194" s="50">
        <v>2.2</v>
      </c>
      <c r="K194" s="84">
        <v>3.85</v>
      </c>
      <c r="L194" s="84">
        <v>2.5</v>
      </c>
      <c r="M194" s="84">
        <v>0.2</v>
      </c>
      <c r="N194" s="132">
        <f t="shared" si="68"/>
        <v>6.55</v>
      </c>
      <c r="O194" s="189">
        <f t="shared" si="69"/>
        <v>50.3125</v>
      </c>
      <c r="P194" s="50">
        <f t="shared" si="70"/>
        <v>110.69</v>
      </c>
      <c r="Q194" s="50">
        <f t="shared" si="71"/>
        <v>71.875</v>
      </c>
      <c r="R194" s="50">
        <f t="shared" si="72"/>
        <v>5.75</v>
      </c>
      <c r="S194" s="190">
        <f t="shared" si="73"/>
        <v>188.315</v>
      </c>
      <c r="T194" s="180">
        <f>115*0.25</f>
        <v>28.75</v>
      </c>
      <c r="U194" s="83">
        <f t="shared" si="74"/>
        <v>110.6875</v>
      </c>
      <c r="V194" s="83">
        <f t="shared" si="75"/>
        <v>71.875</v>
      </c>
      <c r="W194" s="83">
        <f t="shared" si="76"/>
        <v>5.75</v>
      </c>
      <c r="X194" s="83">
        <f>U194+V194+W194+0.01</f>
        <v>188.3225</v>
      </c>
      <c r="Y194" s="133"/>
      <c r="Z194" s="83">
        <f t="shared" si="66"/>
        <v>0</v>
      </c>
      <c r="AA194" s="83">
        <f t="shared" si="78"/>
        <v>-0.007499999999993179</v>
      </c>
      <c r="AB194" s="43"/>
      <c r="AC194" s="43"/>
      <c r="AD194" s="43"/>
      <c r="AE194" s="43"/>
      <c r="AF194" s="43"/>
      <c r="AG194" s="43"/>
      <c r="AH194" s="43"/>
      <c r="AI194" s="43"/>
    </row>
    <row r="195" spans="1:35" s="16" customFormat="1" ht="15" customHeight="1" thickBot="1">
      <c r="A195" s="269"/>
      <c r="B195" s="150" t="s">
        <v>336</v>
      </c>
      <c r="C195" s="163"/>
      <c r="D195" s="246"/>
      <c r="E195" s="281"/>
      <c r="F195" s="167"/>
      <c r="G195" s="167"/>
      <c r="H195" s="246"/>
      <c r="I195" s="226"/>
      <c r="J195" s="152"/>
      <c r="K195" s="151"/>
      <c r="L195" s="151"/>
      <c r="M195" s="151"/>
      <c r="N195" s="167"/>
      <c r="O195" s="196">
        <f>SUM(O185:O194)</f>
        <v>212.79431818181817</v>
      </c>
      <c r="P195" s="152">
        <f>SUM(P185:P194)</f>
        <v>468.15</v>
      </c>
      <c r="Q195" s="152">
        <f>SUM(Q185:Q194)</f>
        <v>2626.12592</v>
      </c>
      <c r="R195" s="152">
        <f>SUM(R185:R194)</f>
        <v>71.59</v>
      </c>
      <c r="S195" s="273">
        <f>SUM(S185:S194)</f>
        <v>3165.8659199999997</v>
      </c>
      <c r="T195" s="177"/>
      <c r="U195" s="86">
        <f>SUM(U185:U194)</f>
        <v>411.02750000000003</v>
      </c>
      <c r="V195" s="86">
        <f>SUM(V185:V194)</f>
        <v>2126.139</v>
      </c>
      <c r="W195" s="86">
        <f>SUM(W185:W194)</f>
        <v>61.96</v>
      </c>
      <c r="X195" s="86">
        <f>SUM(X185:X194)</f>
        <v>2599.1364999999996</v>
      </c>
      <c r="Y195" s="86"/>
      <c r="Z195" s="86">
        <f>SUM(Z185:Z194)</f>
        <v>415.12</v>
      </c>
      <c r="AA195" s="88">
        <f>SUM(AA185:AA194)</f>
        <v>151.60942</v>
      </c>
      <c r="AB195" s="43"/>
      <c r="AC195" s="43"/>
      <c r="AD195" s="43"/>
      <c r="AE195" s="43"/>
      <c r="AF195" s="43"/>
      <c r="AG195" s="43"/>
      <c r="AH195" s="43"/>
      <c r="AI195" s="43"/>
    </row>
    <row r="196" spans="1:35" s="16" customFormat="1" ht="53.25" customHeight="1">
      <c r="A196" s="89" t="s">
        <v>70</v>
      </c>
      <c r="B196" s="278" t="s">
        <v>440</v>
      </c>
      <c r="C196" s="92" t="s">
        <v>4</v>
      </c>
      <c r="D196" s="234">
        <v>29.6</v>
      </c>
      <c r="E196" s="253" t="s">
        <v>70</v>
      </c>
      <c r="F196" s="278" t="s">
        <v>440</v>
      </c>
      <c r="G196" s="92" t="s">
        <v>4</v>
      </c>
      <c r="H196" s="234">
        <v>29.6</v>
      </c>
      <c r="I196" s="85"/>
      <c r="J196" s="68"/>
      <c r="K196" s="68"/>
      <c r="L196" s="68"/>
      <c r="M196" s="68"/>
      <c r="N196" s="156"/>
      <c r="O196" s="134"/>
      <c r="P196" s="68"/>
      <c r="Q196" s="68"/>
      <c r="R196" s="68"/>
      <c r="S196" s="186"/>
      <c r="T196" s="170"/>
      <c r="U196" s="40"/>
      <c r="V196" s="40"/>
      <c r="W196" s="40"/>
      <c r="X196" s="40"/>
      <c r="Y196" s="40"/>
      <c r="Z196" s="40"/>
      <c r="AA196" s="40"/>
      <c r="AB196" s="43"/>
      <c r="AC196" s="43"/>
      <c r="AD196" s="43"/>
      <c r="AE196" s="43"/>
      <c r="AF196" s="43"/>
      <c r="AG196" s="43"/>
      <c r="AH196" s="43"/>
      <c r="AI196" s="43"/>
    </row>
    <row r="197" spans="1:35" s="16" customFormat="1" ht="29.25" customHeight="1">
      <c r="A197" s="73" t="s">
        <v>71</v>
      </c>
      <c r="B197" s="32" t="s">
        <v>12</v>
      </c>
      <c r="C197" s="109" t="s">
        <v>439</v>
      </c>
      <c r="D197" s="230">
        <f>+D196</f>
        <v>29.6</v>
      </c>
      <c r="E197" s="220" t="s">
        <v>71</v>
      </c>
      <c r="F197" s="32" t="s">
        <v>12</v>
      </c>
      <c r="G197" s="109" t="s">
        <v>439</v>
      </c>
      <c r="H197" s="230">
        <f>+H196</f>
        <v>29.6</v>
      </c>
      <c r="I197" s="218">
        <f>K197/J197</f>
        <v>2.954545454545454</v>
      </c>
      <c r="J197" s="41">
        <v>2.2</v>
      </c>
      <c r="K197" s="34">
        <v>6.5</v>
      </c>
      <c r="L197" s="34"/>
      <c r="M197" s="34">
        <v>1.05</v>
      </c>
      <c r="N197" s="74">
        <f aca="true" t="shared" si="79" ref="N197:N202">K197+L197+M197</f>
        <v>7.55</v>
      </c>
      <c r="O197" s="187">
        <f aca="true" t="shared" si="80" ref="O197:O202">H197*I197</f>
        <v>87.45454545454545</v>
      </c>
      <c r="P197" s="41">
        <f aca="true" t="shared" si="81" ref="P197:P202">ROUND(H197*K197,2)</f>
        <v>192.4</v>
      </c>
      <c r="Q197" s="41">
        <f aca="true" t="shared" si="82" ref="Q197:Q202">H197*L197</f>
        <v>0</v>
      </c>
      <c r="R197" s="41">
        <f aca="true" t="shared" si="83" ref="R197:R202">ROUND(H197*M197,2)</f>
        <v>31.08</v>
      </c>
      <c r="S197" s="188">
        <f aca="true" t="shared" si="84" ref="S197:S202">R197+Q197+P197</f>
        <v>223.48000000000002</v>
      </c>
      <c r="T197" s="170">
        <v>16.12</v>
      </c>
      <c r="U197" s="40">
        <f aca="true" t="shared" si="85" ref="U197:U202">T197*K197</f>
        <v>104.78</v>
      </c>
      <c r="V197" s="40">
        <f aca="true" t="shared" si="86" ref="V197:V202">T197*L197</f>
        <v>0</v>
      </c>
      <c r="W197" s="40">
        <f aca="true" t="shared" si="87" ref="W197:W202">T197*M197</f>
        <v>16.926000000000002</v>
      </c>
      <c r="X197" s="40">
        <f>U197+V197+W197</f>
        <v>121.706</v>
      </c>
      <c r="Y197" s="40">
        <v>12</v>
      </c>
      <c r="Z197" s="40">
        <f t="shared" si="66"/>
        <v>90.6</v>
      </c>
      <c r="AA197" s="40">
        <f aca="true" t="shared" si="88" ref="AA197:AA202">S197-X197-Z197</f>
        <v>11.17400000000002</v>
      </c>
      <c r="AB197" s="43"/>
      <c r="AC197" s="43"/>
      <c r="AD197" s="43"/>
      <c r="AE197" s="43"/>
      <c r="AF197" s="43"/>
      <c r="AG197" s="43"/>
      <c r="AH197" s="43"/>
      <c r="AI197" s="43"/>
    </row>
    <row r="198" spans="1:35" s="16" customFormat="1" ht="15" customHeight="1">
      <c r="A198" s="70"/>
      <c r="B198" s="38" t="s">
        <v>239</v>
      </c>
      <c r="C198" s="109" t="s">
        <v>4</v>
      </c>
      <c r="D198" s="230">
        <f>D197</f>
        <v>29.6</v>
      </c>
      <c r="E198" s="251"/>
      <c r="F198" s="38" t="s">
        <v>239</v>
      </c>
      <c r="G198" s="109" t="s">
        <v>4</v>
      </c>
      <c r="H198" s="230">
        <f>H197</f>
        <v>29.6</v>
      </c>
      <c r="I198" s="218"/>
      <c r="J198" s="34"/>
      <c r="K198" s="34"/>
      <c r="L198" s="34">
        <v>55</v>
      </c>
      <c r="M198" s="34"/>
      <c r="N198" s="74">
        <f t="shared" si="79"/>
        <v>55</v>
      </c>
      <c r="O198" s="187">
        <f t="shared" si="80"/>
        <v>0</v>
      </c>
      <c r="P198" s="41">
        <f t="shared" si="81"/>
        <v>0</v>
      </c>
      <c r="Q198" s="41">
        <f t="shared" si="82"/>
        <v>1628</v>
      </c>
      <c r="R198" s="41">
        <f t="shared" si="83"/>
        <v>0</v>
      </c>
      <c r="S198" s="188">
        <f t="shared" si="84"/>
        <v>1628</v>
      </c>
      <c r="T198" s="170">
        <v>16.12</v>
      </c>
      <c r="U198" s="40">
        <f t="shared" si="85"/>
        <v>0</v>
      </c>
      <c r="V198" s="40">
        <f t="shared" si="86"/>
        <v>886.6</v>
      </c>
      <c r="W198" s="40">
        <f t="shared" si="87"/>
        <v>0</v>
      </c>
      <c r="X198" s="40">
        <f>U198+V198+W198</f>
        <v>886.6</v>
      </c>
      <c r="Y198" s="40">
        <v>12</v>
      </c>
      <c r="Z198" s="40">
        <f t="shared" si="66"/>
        <v>660</v>
      </c>
      <c r="AA198" s="40">
        <f t="shared" si="88"/>
        <v>81.39999999999998</v>
      </c>
      <c r="AB198" s="43"/>
      <c r="AC198" s="43"/>
      <c r="AD198" s="43"/>
      <c r="AE198" s="43"/>
      <c r="AF198" s="43"/>
      <c r="AG198" s="43"/>
      <c r="AH198" s="43"/>
      <c r="AI198" s="43"/>
    </row>
    <row r="199" spans="1:35" s="16" customFormat="1" ht="15" customHeight="1">
      <c r="A199" s="70"/>
      <c r="B199" s="35" t="s">
        <v>127</v>
      </c>
      <c r="C199" s="199" t="s">
        <v>4</v>
      </c>
      <c r="D199" s="229">
        <f>D197</f>
        <v>29.6</v>
      </c>
      <c r="E199" s="251"/>
      <c r="F199" s="35" t="s">
        <v>127</v>
      </c>
      <c r="G199" s="199" t="s">
        <v>4</v>
      </c>
      <c r="H199" s="229">
        <f>H197</f>
        <v>29.6</v>
      </c>
      <c r="I199" s="218"/>
      <c r="J199" s="34"/>
      <c r="K199" s="34"/>
      <c r="L199" s="34">
        <v>5</v>
      </c>
      <c r="M199" s="34"/>
      <c r="N199" s="74">
        <f t="shared" si="79"/>
        <v>5</v>
      </c>
      <c r="O199" s="187">
        <f t="shared" si="80"/>
        <v>0</v>
      </c>
      <c r="P199" s="41">
        <f t="shared" si="81"/>
        <v>0</v>
      </c>
      <c r="Q199" s="41">
        <f t="shared" si="82"/>
        <v>148</v>
      </c>
      <c r="R199" s="41">
        <f t="shared" si="83"/>
        <v>0</v>
      </c>
      <c r="S199" s="188">
        <f t="shared" si="84"/>
        <v>148</v>
      </c>
      <c r="T199" s="170">
        <v>16.12</v>
      </c>
      <c r="U199" s="40">
        <f t="shared" si="85"/>
        <v>0</v>
      </c>
      <c r="V199" s="40">
        <f t="shared" si="86"/>
        <v>80.60000000000001</v>
      </c>
      <c r="W199" s="40">
        <f t="shared" si="87"/>
        <v>0</v>
      </c>
      <c r="X199" s="40">
        <f>U199+V199+W199</f>
        <v>80.60000000000001</v>
      </c>
      <c r="Y199" s="40">
        <v>12</v>
      </c>
      <c r="Z199" s="40">
        <f t="shared" si="66"/>
        <v>60</v>
      </c>
      <c r="AA199" s="40">
        <f t="shared" si="88"/>
        <v>7.3999999999999915</v>
      </c>
      <c r="AB199" s="43"/>
      <c r="AC199" s="43"/>
      <c r="AD199" s="43"/>
      <c r="AE199" s="43"/>
      <c r="AF199" s="43"/>
      <c r="AG199" s="43"/>
      <c r="AH199" s="43"/>
      <c r="AI199" s="43"/>
    </row>
    <row r="200" spans="1:35" s="16" customFormat="1" ht="15" customHeight="1">
      <c r="A200" s="70"/>
      <c r="B200" s="35" t="s">
        <v>128</v>
      </c>
      <c r="C200" s="199" t="s">
        <v>4</v>
      </c>
      <c r="D200" s="229">
        <f>D197</f>
        <v>29.6</v>
      </c>
      <c r="E200" s="251"/>
      <c r="F200" s="35" t="s">
        <v>128</v>
      </c>
      <c r="G200" s="199" t="s">
        <v>4</v>
      </c>
      <c r="H200" s="229">
        <f>H197</f>
        <v>29.6</v>
      </c>
      <c r="I200" s="218"/>
      <c r="J200" s="34"/>
      <c r="K200" s="34"/>
      <c r="L200" s="34">
        <v>1</v>
      </c>
      <c r="M200" s="34"/>
      <c r="N200" s="74">
        <f t="shared" si="79"/>
        <v>1</v>
      </c>
      <c r="O200" s="187">
        <f t="shared" si="80"/>
        <v>0</v>
      </c>
      <c r="P200" s="41">
        <f t="shared" si="81"/>
        <v>0</v>
      </c>
      <c r="Q200" s="41">
        <f t="shared" si="82"/>
        <v>29.6</v>
      </c>
      <c r="R200" s="41">
        <f t="shared" si="83"/>
        <v>0</v>
      </c>
      <c r="S200" s="188">
        <f t="shared" si="84"/>
        <v>29.6</v>
      </c>
      <c r="T200" s="170">
        <v>16.12</v>
      </c>
      <c r="U200" s="40">
        <f t="shared" si="85"/>
        <v>0</v>
      </c>
      <c r="V200" s="40">
        <f t="shared" si="86"/>
        <v>16.12</v>
      </c>
      <c r="W200" s="40">
        <f t="shared" si="87"/>
        <v>0</v>
      </c>
      <c r="X200" s="40">
        <f>U200+V200+W200</f>
        <v>16.12</v>
      </c>
      <c r="Y200" s="40">
        <v>12</v>
      </c>
      <c r="Z200" s="40">
        <f t="shared" si="66"/>
        <v>12</v>
      </c>
      <c r="AA200" s="40">
        <f t="shared" si="88"/>
        <v>1.4800000000000004</v>
      </c>
      <c r="AB200" s="43"/>
      <c r="AC200" s="43"/>
      <c r="AD200" s="43"/>
      <c r="AE200" s="43"/>
      <c r="AF200" s="43"/>
      <c r="AG200" s="43"/>
      <c r="AH200" s="43"/>
      <c r="AI200" s="43"/>
    </row>
    <row r="201" spans="1:35" s="16" customFormat="1" ht="15" customHeight="1">
      <c r="A201" s="99"/>
      <c r="B201" s="39" t="s">
        <v>119</v>
      </c>
      <c r="C201" s="109" t="s">
        <v>118</v>
      </c>
      <c r="D201" s="230">
        <v>8</v>
      </c>
      <c r="E201" s="221"/>
      <c r="F201" s="39" t="s">
        <v>119</v>
      </c>
      <c r="G201" s="109" t="s">
        <v>118</v>
      </c>
      <c r="H201" s="230">
        <v>8</v>
      </c>
      <c r="I201" s="218"/>
      <c r="J201" s="34"/>
      <c r="K201" s="34"/>
      <c r="L201" s="34">
        <v>1.91</v>
      </c>
      <c r="M201" s="34"/>
      <c r="N201" s="74">
        <f t="shared" si="79"/>
        <v>1.91</v>
      </c>
      <c r="O201" s="187">
        <f t="shared" si="80"/>
        <v>0</v>
      </c>
      <c r="P201" s="41">
        <f t="shared" si="81"/>
        <v>0</v>
      </c>
      <c r="Q201" s="41">
        <f t="shared" si="82"/>
        <v>15.28</v>
      </c>
      <c r="R201" s="41">
        <f t="shared" si="83"/>
        <v>0</v>
      </c>
      <c r="S201" s="188">
        <f t="shared" si="84"/>
        <v>15.28</v>
      </c>
      <c r="T201" s="170">
        <v>4.6</v>
      </c>
      <c r="U201" s="40">
        <f t="shared" si="85"/>
        <v>0</v>
      </c>
      <c r="V201" s="40">
        <f t="shared" si="86"/>
        <v>8.786</v>
      </c>
      <c r="W201" s="40">
        <f t="shared" si="87"/>
        <v>0</v>
      </c>
      <c r="X201" s="40">
        <f>U201+V201+W201</f>
        <v>8.786</v>
      </c>
      <c r="Y201" s="40">
        <v>3</v>
      </c>
      <c r="Z201" s="40">
        <f t="shared" si="66"/>
        <v>5.7299999999999995</v>
      </c>
      <c r="AA201" s="40">
        <f t="shared" si="88"/>
        <v>0.7640000000000002</v>
      </c>
      <c r="AB201" s="43"/>
      <c r="AC201" s="43"/>
      <c r="AD201" s="43"/>
      <c r="AE201" s="43"/>
      <c r="AF201" s="43"/>
      <c r="AG201" s="43"/>
      <c r="AH201" s="43"/>
      <c r="AI201" s="43"/>
    </row>
    <row r="202" spans="1:35" s="16" customFormat="1" ht="32.25" customHeight="1" thickBot="1">
      <c r="A202" s="129" t="s">
        <v>72</v>
      </c>
      <c r="B202" s="130" t="s">
        <v>69</v>
      </c>
      <c r="C202" s="208" t="s">
        <v>4</v>
      </c>
      <c r="D202" s="241">
        <f>55*0.25</f>
        <v>13.75</v>
      </c>
      <c r="E202" s="252" t="s">
        <v>72</v>
      </c>
      <c r="F202" s="130" t="s">
        <v>69</v>
      </c>
      <c r="G202" s="208" t="s">
        <v>4</v>
      </c>
      <c r="H202" s="241">
        <f>55*0.25</f>
        <v>13.75</v>
      </c>
      <c r="I202" s="223">
        <f>K202/J202</f>
        <v>1.75</v>
      </c>
      <c r="J202" s="50">
        <v>2.2</v>
      </c>
      <c r="K202" s="84">
        <v>3.85</v>
      </c>
      <c r="L202" s="84">
        <v>2.5</v>
      </c>
      <c r="M202" s="84">
        <v>0.2</v>
      </c>
      <c r="N202" s="132">
        <f t="shared" si="79"/>
        <v>6.55</v>
      </c>
      <c r="O202" s="189">
        <f t="shared" si="80"/>
        <v>24.0625</v>
      </c>
      <c r="P202" s="50">
        <f t="shared" si="81"/>
        <v>52.94</v>
      </c>
      <c r="Q202" s="50">
        <f t="shared" si="82"/>
        <v>34.375</v>
      </c>
      <c r="R202" s="50">
        <f t="shared" si="83"/>
        <v>2.75</v>
      </c>
      <c r="S202" s="190">
        <f t="shared" si="84"/>
        <v>90.065</v>
      </c>
      <c r="T202" s="171">
        <v>13.06</v>
      </c>
      <c r="U202" s="83">
        <f t="shared" si="85"/>
        <v>50.281000000000006</v>
      </c>
      <c r="V202" s="83">
        <f t="shared" si="86"/>
        <v>32.65</v>
      </c>
      <c r="W202" s="83">
        <f t="shared" si="87"/>
        <v>2.612</v>
      </c>
      <c r="X202" s="83">
        <f>U202+V202+W202+0.01</f>
        <v>85.55300000000001</v>
      </c>
      <c r="Y202" s="83"/>
      <c r="Z202" s="83">
        <f t="shared" si="66"/>
        <v>0</v>
      </c>
      <c r="AA202" s="83">
        <f t="shared" si="88"/>
        <v>4.511999999999986</v>
      </c>
      <c r="AB202" s="43"/>
      <c r="AC202" s="43"/>
      <c r="AD202" s="43"/>
      <c r="AE202" s="43"/>
      <c r="AF202" s="43"/>
      <c r="AG202" s="43"/>
      <c r="AH202" s="43"/>
      <c r="AI202" s="43"/>
    </row>
    <row r="203" spans="1:35" s="16" customFormat="1" ht="17.25" customHeight="1" thickBot="1">
      <c r="A203" s="269"/>
      <c r="B203" s="150" t="s">
        <v>336</v>
      </c>
      <c r="C203" s="163"/>
      <c r="D203" s="246"/>
      <c r="E203" s="281"/>
      <c r="F203" s="167"/>
      <c r="G203" s="167"/>
      <c r="H203" s="246"/>
      <c r="I203" s="226"/>
      <c r="J203" s="152"/>
      <c r="K203" s="151"/>
      <c r="L203" s="151"/>
      <c r="M203" s="151"/>
      <c r="N203" s="167"/>
      <c r="O203" s="196">
        <f>SUM(O197:O202)</f>
        <v>111.51704545454545</v>
      </c>
      <c r="P203" s="152">
        <f>SUM(P197:P202)</f>
        <v>245.34</v>
      </c>
      <c r="Q203" s="152">
        <f>SUM(Q197:Q202)</f>
        <v>1855.2549999999999</v>
      </c>
      <c r="R203" s="152">
        <f>SUM(R197:R202)</f>
        <v>33.83</v>
      </c>
      <c r="S203" s="273">
        <f>SUM(S197:S202)</f>
        <v>2134.4249999999997</v>
      </c>
      <c r="T203" s="177"/>
      <c r="U203" s="86">
        <f>SUM(U197:U202)</f>
        <v>155.061</v>
      </c>
      <c r="V203" s="86">
        <f>SUM(V197:V202)</f>
        <v>1024.756</v>
      </c>
      <c r="W203" s="86">
        <f>SUM(W197:W202)</f>
        <v>19.538000000000004</v>
      </c>
      <c r="X203" s="86">
        <f>SUM(X197:X202)</f>
        <v>1199.365</v>
      </c>
      <c r="Y203" s="86"/>
      <c r="Z203" s="86">
        <f>SUM(Z197:Z202)</f>
        <v>828.33</v>
      </c>
      <c r="AA203" s="88">
        <f>SUM(AA197:AA202)</f>
        <v>106.72999999999998</v>
      </c>
      <c r="AB203" s="43"/>
      <c r="AC203" s="43"/>
      <c r="AD203" s="43"/>
      <c r="AE203" s="43"/>
      <c r="AF203" s="43"/>
      <c r="AG203" s="43"/>
      <c r="AH203" s="43"/>
      <c r="AI203" s="43"/>
    </row>
    <row r="204" spans="1:35" s="16" customFormat="1" ht="15" customHeight="1">
      <c r="A204" s="89" t="s">
        <v>93</v>
      </c>
      <c r="B204" s="278" t="s">
        <v>240</v>
      </c>
      <c r="C204" s="92" t="s">
        <v>4</v>
      </c>
      <c r="D204" s="234">
        <f>+D206+D211</f>
        <v>19.32</v>
      </c>
      <c r="E204" s="253" t="s">
        <v>93</v>
      </c>
      <c r="F204" s="278" t="s">
        <v>240</v>
      </c>
      <c r="G204" s="92" t="s">
        <v>4</v>
      </c>
      <c r="H204" s="234">
        <v>19.32</v>
      </c>
      <c r="I204" s="85"/>
      <c r="J204" s="68"/>
      <c r="K204" s="68"/>
      <c r="L204" s="68"/>
      <c r="M204" s="68"/>
      <c r="N204" s="156"/>
      <c r="O204" s="134"/>
      <c r="P204" s="68"/>
      <c r="Q204" s="68"/>
      <c r="R204" s="68"/>
      <c r="S204" s="186"/>
      <c r="T204" s="170"/>
      <c r="U204" s="40"/>
      <c r="V204" s="40"/>
      <c r="W204" s="40"/>
      <c r="X204" s="40"/>
      <c r="Y204" s="40"/>
      <c r="Z204" s="40"/>
      <c r="AA204" s="40"/>
      <c r="AB204" s="43"/>
      <c r="AC204" s="43"/>
      <c r="AD204" s="43"/>
      <c r="AE204" s="43"/>
      <c r="AF204" s="43"/>
      <c r="AG204" s="43"/>
      <c r="AH204" s="43"/>
      <c r="AI204" s="43"/>
    </row>
    <row r="205" spans="1:35" s="16" customFormat="1" ht="32.25" customHeight="1">
      <c r="A205" s="73" t="s">
        <v>94</v>
      </c>
      <c r="B205" s="32" t="s">
        <v>267</v>
      </c>
      <c r="C205" s="204" t="s">
        <v>8</v>
      </c>
      <c r="D205" s="237">
        <v>4</v>
      </c>
      <c r="E205" s="255" t="s">
        <v>94</v>
      </c>
      <c r="F205" s="32" t="s">
        <v>267</v>
      </c>
      <c r="G205" s="204" t="s">
        <v>8</v>
      </c>
      <c r="H205" s="237">
        <v>4</v>
      </c>
      <c r="I205" s="218">
        <f>K205/J205</f>
        <v>7.2727272727272725</v>
      </c>
      <c r="J205" s="41">
        <v>2.2</v>
      </c>
      <c r="K205" s="34">
        <v>16</v>
      </c>
      <c r="L205" s="34">
        <v>2.5</v>
      </c>
      <c r="M205" s="34">
        <v>0.2</v>
      </c>
      <c r="N205" s="74">
        <f aca="true" t="shared" si="89" ref="N205:N218">K205+L205+M205</f>
        <v>18.7</v>
      </c>
      <c r="O205" s="187">
        <f aca="true" t="shared" si="90" ref="O205:O218">H205*I205</f>
        <v>29.09090909090909</v>
      </c>
      <c r="P205" s="41">
        <f aca="true" t="shared" si="91" ref="P205:P218">ROUND(H205*K205,2)</f>
        <v>64</v>
      </c>
      <c r="Q205" s="41">
        <f aca="true" t="shared" si="92" ref="Q205:Q218">H205*L205</f>
        <v>10</v>
      </c>
      <c r="R205" s="41">
        <f aca="true" t="shared" si="93" ref="R205:R218">ROUND(H205*M205,2)</f>
        <v>0.8</v>
      </c>
      <c r="S205" s="188">
        <f aca="true" t="shared" si="94" ref="S205:S218">R205+Q205+P205</f>
        <v>74.8</v>
      </c>
      <c r="T205" s="181">
        <v>0</v>
      </c>
      <c r="U205" s="40">
        <f aca="true" t="shared" si="95" ref="U205:U218">T205*K205</f>
        <v>0</v>
      </c>
      <c r="V205" s="40">
        <f aca="true" t="shared" si="96" ref="V205:V218">T205*L205</f>
        <v>0</v>
      </c>
      <c r="W205" s="40">
        <f aca="true" t="shared" si="97" ref="W205:W218">T205*M205</f>
        <v>0</v>
      </c>
      <c r="X205" s="40">
        <f aca="true" t="shared" si="98" ref="X205:X218">U205+V205+W205</f>
        <v>0</v>
      </c>
      <c r="Y205" s="108">
        <v>4</v>
      </c>
      <c r="Z205" s="40">
        <f t="shared" si="66"/>
        <v>74.8</v>
      </c>
      <c r="AA205" s="40">
        <f aca="true" t="shared" si="99" ref="AA205:AA218">S205-X205-Z205</f>
        <v>0</v>
      </c>
      <c r="AB205" s="43"/>
      <c r="AC205" s="43"/>
      <c r="AD205" s="43"/>
      <c r="AE205" s="43"/>
      <c r="AF205" s="43"/>
      <c r="AG205" s="43"/>
      <c r="AH205" s="43"/>
      <c r="AI205" s="43"/>
    </row>
    <row r="206" spans="1:35" s="16" customFormat="1" ht="15" customHeight="1">
      <c r="A206" s="73"/>
      <c r="B206" s="39" t="s">
        <v>241</v>
      </c>
      <c r="C206" s="204" t="s">
        <v>4</v>
      </c>
      <c r="D206" s="237">
        <v>8.4</v>
      </c>
      <c r="E206" s="255"/>
      <c r="F206" s="39" t="s">
        <v>241</v>
      </c>
      <c r="G206" s="204" t="s">
        <v>4</v>
      </c>
      <c r="H206" s="237">
        <v>8.4</v>
      </c>
      <c r="I206" s="216"/>
      <c r="J206" s="41"/>
      <c r="K206" s="41"/>
      <c r="L206" s="41">
        <v>95</v>
      </c>
      <c r="M206" s="41"/>
      <c r="N206" s="74">
        <f t="shared" si="89"/>
        <v>95</v>
      </c>
      <c r="O206" s="187">
        <f t="shared" si="90"/>
        <v>0</v>
      </c>
      <c r="P206" s="41">
        <f t="shared" si="91"/>
        <v>0</v>
      </c>
      <c r="Q206" s="41">
        <f t="shared" si="92"/>
        <v>798</v>
      </c>
      <c r="R206" s="41">
        <f t="shared" si="93"/>
        <v>0</v>
      </c>
      <c r="S206" s="188">
        <f t="shared" si="94"/>
        <v>798</v>
      </c>
      <c r="T206" s="181">
        <v>0</v>
      </c>
      <c r="U206" s="40">
        <f t="shared" si="95"/>
        <v>0</v>
      </c>
      <c r="V206" s="40">
        <f t="shared" si="96"/>
        <v>0</v>
      </c>
      <c r="W206" s="40">
        <f t="shared" si="97"/>
        <v>0</v>
      </c>
      <c r="X206" s="40">
        <f t="shared" si="98"/>
        <v>0</v>
      </c>
      <c r="Y206" s="108">
        <v>8.4</v>
      </c>
      <c r="Z206" s="40">
        <f t="shared" si="66"/>
        <v>798</v>
      </c>
      <c r="AA206" s="40">
        <f t="shared" si="99"/>
        <v>0</v>
      </c>
      <c r="AB206" s="43"/>
      <c r="AC206" s="43"/>
      <c r="AD206" s="43"/>
      <c r="AE206" s="43"/>
      <c r="AF206" s="43"/>
      <c r="AG206" s="43"/>
      <c r="AH206" s="43"/>
      <c r="AI206" s="43"/>
    </row>
    <row r="207" spans="1:35" s="16" customFormat="1" ht="15" customHeight="1">
      <c r="A207" s="70"/>
      <c r="B207" s="35" t="s">
        <v>127</v>
      </c>
      <c r="C207" s="199" t="s">
        <v>4</v>
      </c>
      <c r="D207" s="229">
        <f>+D206</f>
        <v>8.4</v>
      </c>
      <c r="E207" s="256"/>
      <c r="F207" s="35" t="s">
        <v>127</v>
      </c>
      <c r="G207" s="199" t="s">
        <v>4</v>
      </c>
      <c r="H207" s="229">
        <f>+H206</f>
        <v>8.4</v>
      </c>
      <c r="I207" s="216"/>
      <c r="J207" s="41"/>
      <c r="K207" s="41"/>
      <c r="L207" s="41">
        <v>2</v>
      </c>
      <c r="M207" s="41"/>
      <c r="N207" s="74">
        <f t="shared" si="89"/>
        <v>2</v>
      </c>
      <c r="O207" s="187">
        <f t="shared" si="90"/>
        <v>0</v>
      </c>
      <c r="P207" s="41">
        <f t="shared" si="91"/>
        <v>0</v>
      </c>
      <c r="Q207" s="41">
        <f t="shared" si="92"/>
        <v>16.8</v>
      </c>
      <c r="R207" s="41">
        <f t="shared" si="93"/>
        <v>0</v>
      </c>
      <c r="S207" s="188">
        <f t="shared" si="94"/>
        <v>16.8</v>
      </c>
      <c r="T207" s="174">
        <v>0</v>
      </c>
      <c r="U207" s="40">
        <f t="shared" si="95"/>
        <v>0</v>
      </c>
      <c r="V207" s="40">
        <f t="shared" si="96"/>
        <v>0</v>
      </c>
      <c r="W207" s="40">
        <f t="shared" si="97"/>
        <v>0</v>
      </c>
      <c r="X207" s="40">
        <f t="shared" si="98"/>
        <v>0</v>
      </c>
      <c r="Y207" s="71">
        <f>+Y206</f>
        <v>8.4</v>
      </c>
      <c r="Z207" s="40">
        <f t="shared" si="66"/>
        <v>16.8</v>
      </c>
      <c r="AA207" s="40">
        <f t="shared" si="99"/>
        <v>0</v>
      </c>
      <c r="AB207" s="43"/>
      <c r="AC207" s="43"/>
      <c r="AD207" s="43"/>
      <c r="AE207" s="43"/>
      <c r="AF207" s="43"/>
      <c r="AG207" s="43"/>
      <c r="AH207" s="43"/>
      <c r="AI207" s="43"/>
    </row>
    <row r="208" spans="1:35" s="16" customFormat="1" ht="15" customHeight="1">
      <c r="A208" s="70"/>
      <c r="B208" s="35" t="s">
        <v>128</v>
      </c>
      <c r="C208" s="199" t="s">
        <v>4</v>
      </c>
      <c r="D208" s="229">
        <f>+D207</f>
        <v>8.4</v>
      </c>
      <c r="E208" s="256"/>
      <c r="F208" s="35" t="s">
        <v>128</v>
      </c>
      <c r="G208" s="199" t="s">
        <v>4</v>
      </c>
      <c r="H208" s="229">
        <f>+H207</f>
        <v>8.4</v>
      </c>
      <c r="I208" s="216"/>
      <c r="J208" s="41"/>
      <c r="K208" s="41"/>
      <c r="L208" s="41">
        <v>1</v>
      </c>
      <c r="M208" s="41"/>
      <c r="N208" s="74">
        <f t="shared" si="89"/>
        <v>1</v>
      </c>
      <c r="O208" s="187">
        <f t="shared" si="90"/>
        <v>0</v>
      </c>
      <c r="P208" s="41">
        <f t="shared" si="91"/>
        <v>0</v>
      </c>
      <c r="Q208" s="41">
        <f t="shared" si="92"/>
        <v>8.4</v>
      </c>
      <c r="R208" s="41">
        <f t="shared" si="93"/>
        <v>0</v>
      </c>
      <c r="S208" s="188">
        <f t="shared" si="94"/>
        <v>8.4</v>
      </c>
      <c r="T208" s="174">
        <v>0</v>
      </c>
      <c r="U208" s="40">
        <f t="shared" si="95"/>
        <v>0</v>
      </c>
      <c r="V208" s="40">
        <f t="shared" si="96"/>
        <v>0</v>
      </c>
      <c r="W208" s="40">
        <f t="shared" si="97"/>
        <v>0</v>
      </c>
      <c r="X208" s="40">
        <f t="shared" si="98"/>
        <v>0</v>
      </c>
      <c r="Y208" s="71">
        <f>+Y207</f>
        <v>8.4</v>
      </c>
      <c r="Z208" s="40">
        <f t="shared" si="66"/>
        <v>8.4</v>
      </c>
      <c r="AA208" s="40">
        <f t="shared" si="99"/>
        <v>0</v>
      </c>
      <c r="AB208" s="43"/>
      <c r="AC208" s="43"/>
      <c r="AD208" s="43"/>
      <c r="AE208" s="43"/>
      <c r="AF208" s="43"/>
      <c r="AG208" s="43"/>
      <c r="AH208" s="43"/>
      <c r="AI208" s="43"/>
    </row>
    <row r="209" spans="1:45" s="20" customFormat="1" ht="15" customHeight="1">
      <c r="A209" s="99"/>
      <c r="B209" s="39" t="s">
        <v>119</v>
      </c>
      <c r="C209" s="109" t="s">
        <v>118</v>
      </c>
      <c r="D209" s="230">
        <f>+D207*0.3</f>
        <v>2.52</v>
      </c>
      <c r="E209" s="262"/>
      <c r="F209" s="39" t="s">
        <v>119</v>
      </c>
      <c r="G209" s="109" t="s">
        <v>118</v>
      </c>
      <c r="H209" s="230">
        <f>+H207*0.3</f>
        <v>2.52</v>
      </c>
      <c r="I209" s="216"/>
      <c r="J209" s="41"/>
      <c r="K209" s="41"/>
      <c r="L209" s="41">
        <v>1.91</v>
      </c>
      <c r="M209" s="41"/>
      <c r="N209" s="74">
        <f t="shared" si="89"/>
        <v>1.91</v>
      </c>
      <c r="O209" s="187">
        <f t="shared" si="90"/>
        <v>0</v>
      </c>
      <c r="P209" s="41">
        <f t="shared" si="91"/>
        <v>0</v>
      </c>
      <c r="Q209" s="41">
        <f t="shared" si="92"/>
        <v>4.8132</v>
      </c>
      <c r="R209" s="41">
        <f t="shared" si="93"/>
        <v>0</v>
      </c>
      <c r="S209" s="188">
        <f t="shared" si="94"/>
        <v>4.8132</v>
      </c>
      <c r="T209" s="179">
        <v>0</v>
      </c>
      <c r="U209" s="40">
        <f t="shared" si="95"/>
        <v>0</v>
      </c>
      <c r="V209" s="40">
        <f t="shared" si="96"/>
        <v>0</v>
      </c>
      <c r="W209" s="40">
        <f t="shared" si="97"/>
        <v>0</v>
      </c>
      <c r="X209" s="40">
        <f t="shared" si="98"/>
        <v>0</v>
      </c>
      <c r="Y209" s="74">
        <f>+Y207*0.3</f>
        <v>2.52</v>
      </c>
      <c r="Z209" s="40">
        <f t="shared" si="66"/>
        <v>4.8132</v>
      </c>
      <c r="AA209" s="40">
        <f t="shared" si="99"/>
        <v>0</v>
      </c>
      <c r="AB209" s="43"/>
      <c r="AC209" s="43"/>
      <c r="AD209" s="43"/>
      <c r="AE209" s="43"/>
      <c r="AF209" s="43"/>
      <c r="AG209" s="43"/>
      <c r="AH209" s="43"/>
      <c r="AI209" s="43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</row>
    <row r="210" spans="1:45" s="17" customFormat="1" ht="30.75" customHeight="1">
      <c r="A210" s="99" t="s">
        <v>97</v>
      </c>
      <c r="B210" s="32" t="s">
        <v>242</v>
      </c>
      <c r="C210" s="109" t="s">
        <v>8</v>
      </c>
      <c r="D210" s="230">
        <v>4</v>
      </c>
      <c r="E210" s="259" t="s">
        <v>405</v>
      </c>
      <c r="F210" s="409" t="s">
        <v>406</v>
      </c>
      <c r="G210" s="209" t="s">
        <v>8</v>
      </c>
      <c r="H210" s="230">
        <v>4</v>
      </c>
      <c r="I210" s="218">
        <f>K210/J210</f>
        <v>7.2727272727272725</v>
      </c>
      <c r="J210" s="41">
        <v>2.2</v>
      </c>
      <c r="K210" s="34">
        <v>16</v>
      </c>
      <c r="L210" s="34"/>
      <c r="M210" s="34">
        <v>0.2</v>
      </c>
      <c r="N210" s="74">
        <f t="shared" si="89"/>
        <v>16.2</v>
      </c>
      <c r="O210" s="187">
        <f t="shared" si="90"/>
        <v>29.09090909090909</v>
      </c>
      <c r="P210" s="41">
        <f t="shared" si="91"/>
        <v>64</v>
      </c>
      <c r="Q210" s="41">
        <f t="shared" si="92"/>
        <v>0</v>
      </c>
      <c r="R210" s="41">
        <f t="shared" si="93"/>
        <v>0.8</v>
      </c>
      <c r="S210" s="188">
        <f t="shared" si="94"/>
        <v>64.8</v>
      </c>
      <c r="T210" s="170"/>
      <c r="U210" s="40">
        <f t="shared" si="95"/>
        <v>0</v>
      </c>
      <c r="V210" s="40">
        <f t="shared" si="96"/>
        <v>0</v>
      </c>
      <c r="W210" s="40">
        <f t="shared" si="97"/>
        <v>0</v>
      </c>
      <c r="X210" s="40">
        <f t="shared" si="98"/>
        <v>0</v>
      </c>
      <c r="Y210" s="40"/>
      <c r="Z210" s="40">
        <f t="shared" si="66"/>
        <v>0</v>
      </c>
      <c r="AA210" s="40">
        <f t="shared" si="99"/>
        <v>64.8</v>
      </c>
      <c r="AB210" s="43"/>
      <c r="AC210" s="43"/>
      <c r="AD210" s="43"/>
      <c r="AE210" s="43"/>
      <c r="AF210" s="43"/>
      <c r="AG210" s="43"/>
      <c r="AH210" s="43"/>
      <c r="AI210" s="43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</row>
    <row r="211" spans="1:45" s="17" customFormat="1" ht="16.5" customHeight="1">
      <c r="A211" s="73"/>
      <c r="B211" s="39" t="s">
        <v>243</v>
      </c>
      <c r="C211" s="204" t="s">
        <v>4</v>
      </c>
      <c r="D211" s="229">
        <v>10.92</v>
      </c>
      <c r="E211" s="115"/>
      <c r="F211" s="407" t="s">
        <v>431</v>
      </c>
      <c r="G211" s="209" t="s">
        <v>4</v>
      </c>
      <c r="H211" s="372">
        <v>12.6</v>
      </c>
      <c r="I211" s="216"/>
      <c r="J211" s="41"/>
      <c r="K211" s="41"/>
      <c r="L211" s="41">
        <v>95</v>
      </c>
      <c r="M211" s="41"/>
      <c r="N211" s="74">
        <f t="shared" si="89"/>
        <v>95</v>
      </c>
      <c r="O211" s="187">
        <f t="shared" si="90"/>
        <v>0</v>
      </c>
      <c r="P211" s="41">
        <f t="shared" si="91"/>
        <v>0</v>
      </c>
      <c r="Q211" s="41">
        <f t="shared" si="92"/>
        <v>1197</v>
      </c>
      <c r="R211" s="41">
        <f t="shared" si="93"/>
        <v>0</v>
      </c>
      <c r="S211" s="188">
        <f t="shared" si="94"/>
        <v>1197</v>
      </c>
      <c r="T211" s="170"/>
      <c r="U211" s="40">
        <f t="shared" si="95"/>
        <v>0</v>
      </c>
      <c r="V211" s="40">
        <f t="shared" si="96"/>
        <v>0</v>
      </c>
      <c r="W211" s="40">
        <f t="shared" si="97"/>
        <v>0</v>
      </c>
      <c r="X211" s="40">
        <f t="shared" si="98"/>
        <v>0</v>
      </c>
      <c r="Y211" s="40"/>
      <c r="Z211" s="40">
        <f t="shared" si="66"/>
        <v>0</v>
      </c>
      <c r="AA211" s="40">
        <f t="shared" si="99"/>
        <v>1197</v>
      </c>
      <c r="AB211" s="43"/>
      <c r="AC211" s="43"/>
      <c r="AD211" s="43"/>
      <c r="AE211" s="43"/>
      <c r="AF211" s="43"/>
      <c r="AG211" s="43"/>
      <c r="AH211" s="43"/>
      <c r="AI211" s="43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</row>
    <row r="212" spans="1:45" s="17" customFormat="1" ht="15" customHeight="1">
      <c r="A212" s="70"/>
      <c r="B212" s="35" t="s">
        <v>127</v>
      </c>
      <c r="C212" s="199" t="s">
        <v>4</v>
      </c>
      <c r="D212" s="229">
        <f>+D211</f>
        <v>10.92</v>
      </c>
      <c r="E212" s="260"/>
      <c r="F212" s="35" t="s">
        <v>127</v>
      </c>
      <c r="G212" s="210" t="s">
        <v>4</v>
      </c>
      <c r="H212" s="372">
        <v>12.6</v>
      </c>
      <c r="I212" s="216"/>
      <c r="J212" s="41"/>
      <c r="K212" s="41"/>
      <c r="L212" s="41">
        <v>2</v>
      </c>
      <c r="M212" s="41"/>
      <c r="N212" s="74">
        <f t="shared" si="89"/>
        <v>2</v>
      </c>
      <c r="O212" s="187">
        <f t="shared" si="90"/>
        <v>0</v>
      </c>
      <c r="P212" s="41">
        <f t="shared" si="91"/>
        <v>0</v>
      </c>
      <c r="Q212" s="41">
        <f t="shared" si="92"/>
        <v>25.2</v>
      </c>
      <c r="R212" s="41">
        <f t="shared" si="93"/>
        <v>0</v>
      </c>
      <c r="S212" s="188">
        <f t="shared" si="94"/>
        <v>25.2</v>
      </c>
      <c r="T212" s="170"/>
      <c r="U212" s="40">
        <f t="shared" si="95"/>
        <v>0</v>
      </c>
      <c r="V212" s="40">
        <f t="shared" si="96"/>
        <v>0</v>
      </c>
      <c r="W212" s="40">
        <f t="shared" si="97"/>
        <v>0</v>
      </c>
      <c r="X212" s="40">
        <f t="shared" si="98"/>
        <v>0</v>
      </c>
      <c r="Y212" s="40"/>
      <c r="Z212" s="40">
        <f aca="true" t="shared" si="100" ref="Z212:Z264">Y212*N212</f>
        <v>0</v>
      </c>
      <c r="AA212" s="40">
        <f t="shared" si="99"/>
        <v>25.2</v>
      </c>
      <c r="AB212" s="43"/>
      <c r="AC212" s="43"/>
      <c r="AD212" s="43"/>
      <c r="AE212" s="43"/>
      <c r="AF212" s="43"/>
      <c r="AG212" s="43"/>
      <c r="AH212" s="43"/>
      <c r="AI212" s="43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</row>
    <row r="213" spans="1:45" s="17" customFormat="1" ht="15" customHeight="1">
      <c r="A213" s="70"/>
      <c r="B213" s="35" t="s">
        <v>128</v>
      </c>
      <c r="C213" s="199" t="s">
        <v>4</v>
      </c>
      <c r="D213" s="229">
        <f>+D212</f>
        <v>10.92</v>
      </c>
      <c r="E213" s="260"/>
      <c r="F213" s="35" t="s">
        <v>128</v>
      </c>
      <c r="G213" s="210" t="s">
        <v>4</v>
      </c>
      <c r="H213" s="372">
        <v>12.6</v>
      </c>
      <c r="I213" s="216"/>
      <c r="J213" s="41"/>
      <c r="K213" s="41"/>
      <c r="L213" s="41">
        <v>1</v>
      </c>
      <c r="M213" s="41"/>
      <c r="N213" s="74">
        <f t="shared" si="89"/>
        <v>1</v>
      </c>
      <c r="O213" s="187">
        <f t="shared" si="90"/>
        <v>0</v>
      </c>
      <c r="P213" s="41">
        <f t="shared" si="91"/>
        <v>0</v>
      </c>
      <c r="Q213" s="41">
        <f t="shared" si="92"/>
        <v>12.6</v>
      </c>
      <c r="R213" s="41">
        <f t="shared" si="93"/>
        <v>0</v>
      </c>
      <c r="S213" s="188">
        <f t="shared" si="94"/>
        <v>12.6</v>
      </c>
      <c r="T213" s="170"/>
      <c r="U213" s="40">
        <f t="shared" si="95"/>
        <v>0</v>
      </c>
      <c r="V213" s="40">
        <f t="shared" si="96"/>
        <v>0</v>
      </c>
      <c r="W213" s="40">
        <f t="shared" si="97"/>
        <v>0</v>
      </c>
      <c r="X213" s="40">
        <f t="shared" si="98"/>
        <v>0</v>
      </c>
      <c r="Y213" s="40"/>
      <c r="Z213" s="40">
        <f t="shared" si="100"/>
        <v>0</v>
      </c>
      <c r="AA213" s="40">
        <f t="shared" si="99"/>
        <v>12.6</v>
      </c>
      <c r="AB213" s="43"/>
      <c r="AC213" s="43"/>
      <c r="AD213" s="43"/>
      <c r="AE213" s="43"/>
      <c r="AF213" s="43"/>
      <c r="AG213" s="43"/>
      <c r="AH213" s="43"/>
      <c r="AI213" s="43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</row>
    <row r="214" spans="1:45" s="17" customFormat="1" ht="15" customHeight="1">
      <c r="A214" s="99"/>
      <c r="B214" s="39" t="s">
        <v>119</v>
      </c>
      <c r="C214" s="109" t="s">
        <v>118</v>
      </c>
      <c r="D214" s="230">
        <f>+D209*0.3</f>
        <v>0.756</v>
      </c>
      <c r="E214" s="259"/>
      <c r="F214" s="39" t="s">
        <v>119</v>
      </c>
      <c r="G214" s="211" t="s">
        <v>118</v>
      </c>
      <c r="H214" s="401">
        <f>0.76/10.92*12.6</f>
        <v>0.8769230769230769</v>
      </c>
      <c r="I214" s="216"/>
      <c r="J214" s="41"/>
      <c r="K214" s="41"/>
      <c r="L214" s="41">
        <v>1.91</v>
      </c>
      <c r="M214" s="41"/>
      <c r="N214" s="74">
        <f t="shared" si="89"/>
        <v>1.91</v>
      </c>
      <c r="O214" s="187">
        <f t="shared" si="90"/>
        <v>0</v>
      </c>
      <c r="P214" s="41">
        <f t="shared" si="91"/>
        <v>0</v>
      </c>
      <c r="Q214" s="41">
        <f t="shared" si="92"/>
        <v>1.6749230769230767</v>
      </c>
      <c r="R214" s="41">
        <f t="shared" si="93"/>
        <v>0</v>
      </c>
      <c r="S214" s="188">
        <f t="shared" si="94"/>
        <v>1.6749230769230767</v>
      </c>
      <c r="T214" s="170"/>
      <c r="U214" s="40">
        <f t="shared" si="95"/>
        <v>0</v>
      </c>
      <c r="V214" s="40">
        <f t="shared" si="96"/>
        <v>0</v>
      </c>
      <c r="W214" s="40">
        <f t="shared" si="97"/>
        <v>0</v>
      </c>
      <c r="X214" s="40">
        <f t="shared" si="98"/>
        <v>0</v>
      </c>
      <c r="Y214" s="40"/>
      <c r="Z214" s="40">
        <f t="shared" si="100"/>
        <v>0</v>
      </c>
      <c r="AA214" s="40">
        <f t="shared" si="99"/>
        <v>1.6749230769230767</v>
      </c>
      <c r="AB214" s="43"/>
      <c r="AC214" s="43"/>
      <c r="AD214" s="43"/>
      <c r="AE214" s="43"/>
      <c r="AF214" s="43"/>
      <c r="AG214" s="43"/>
      <c r="AH214" s="43"/>
      <c r="AI214" s="43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</row>
    <row r="215" spans="1:45" s="20" customFormat="1" ht="27.75" customHeight="1">
      <c r="A215" s="73" t="s">
        <v>136</v>
      </c>
      <c r="B215" s="32" t="s">
        <v>73</v>
      </c>
      <c r="C215" s="74" t="s">
        <v>4</v>
      </c>
      <c r="D215" s="230">
        <f>35*0.25</f>
        <v>8.75</v>
      </c>
      <c r="E215" s="255" t="s">
        <v>136</v>
      </c>
      <c r="F215" s="136" t="s">
        <v>414</v>
      </c>
      <c r="G215" s="74" t="s">
        <v>4</v>
      </c>
      <c r="H215" s="230">
        <f>35*0.25</f>
        <v>8.75</v>
      </c>
      <c r="I215" s="218">
        <f>K215/J215</f>
        <v>1.75</v>
      </c>
      <c r="J215" s="41">
        <v>2.2</v>
      </c>
      <c r="K215" s="34">
        <v>3.85</v>
      </c>
      <c r="L215" s="34">
        <v>2.5</v>
      </c>
      <c r="M215" s="34">
        <v>0.2</v>
      </c>
      <c r="N215" s="74">
        <f t="shared" si="89"/>
        <v>6.55</v>
      </c>
      <c r="O215" s="187">
        <f t="shared" si="90"/>
        <v>15.3125</v>
      </c>
      <c r="P215" s="41">
        <f t="shared" si="91"/>
        <v>33.69</v>
      </c>
      <c r="Q215" s="41">
        <f t="shared" si="92"/>
        <v>21.875</v>
      </c>
      <c r="R215" s="41">
        <f t="shared" si="93"/>
        <v>1.75</v>
      </c>
      <c r="S215" s="188">
        <f t="shared" si="94"/>
        <v>57.315</v>
      </c>
      <c r="T215" s="170">
        <v>4</v>
      </c>
      <c r="U215" s="40">
        <f t="shared" si="95"/>
        <v>15.4</v>
      </c>
      <c r="V215" s="40">
        <f t="shared" si="96"/>
        <v>10</v>
      </c>
      <c r="W215" s="40">
        <f t="shared" si="97"/>
        <v>0.8</v>
      </c>
      <c r="X215" s="40">
        <f t="shared" si="98"/>
        <v>26.2</v>
      </c>
      <c r="Y215" s="40"/>
      <c r="Z215" s="40">
        <f t="shared" si="100"/>
        <v>0</v>
      </c>
      <c r="AA215" s="40">
        <f t="shared" si="99"/>
        <v>31.115</v>
      </c>
      <c r="AB215" s="43"/>
      <c r="AC215" s="43"/>
      <c r="AD215" s="43"/>
      <c r="AE215" s="43"/>
      <c r="AF215" s="43"/>
      <c r="AG215" s="43"/>
      <c r="AH215" s="43"/>
      <c r="AI215" s="43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</row>
    <row r="216" spans="1:45" s="20" customFormat="1" ht="31.5" customHeight="1">
      <c r="A216" s="73" t="s">
        <v>137</v>
      </c>
      <c r="B216" s="97" t="s">
        <v>245</v>
      </c>
      <c r="C216" s="204" t="s">
        <v>10</v>
      </c>
      <c r="D216" s="237">
        <v>4</v>
      </c>
      <c r="E216" s="255" t="s">
        <v>137</v>
      </c>
      <c r="F216" s="97" t="s">
        <v>245</v>
      </c>
      <c r="G216" s="204" t="s">
        <v>10</v>
      </c>
      <c r="H216" s="237">
        <v>4</v>
      </c>
      <c r="I216" s="218">
        <f>K216/J216</f>
        <v>1.5909090909090908</v>
      </c>
      <c r="J216" s="41">
        <v>2.2</v>
      </c>
      <c r="K216" s="41">
        <v>3.5</v>
      </c>
      <c r="L216" s="41">
        <v>25</v>
      </c>
      <c r="M216" s="41">
        <v>0.2</v>
      </c>
      <c r="N216" s="74">
        <f t="shared" si="89"/>
        <v>28.7</v>
      </c>
      <c r="O216" s="187">
        <f t="shared" si="90"/>
        <v>6.363636363636363</v>
      </c>
      <c r="P216" s="41">
        <f t="shared" si="91"/>
        <v>14</v>
      </c>
      <c r="Q216" s="41">
        <f t="shared" si="92"/>
        <v>100</v>
      </c>
      <c r="R216" s="41">
        <f t="shared" si="93"/>
        <v>0.8</v>
      </c>
      <c r="S216" s="188">
        <f t="shared" si="94"/>
        <v>114.8</v>
      </c>
      <c r="T216" s="170"/>
      <c r="U216" s="40">
        <f t="shared" si="95"/>
        <v>0</v>
      </c>
      <c r="V216" s="40">
        <f t="shared" si="96"/>
        <v>0</v>
      </c>
      <c r="W216" s="40">
        <f t="shared" si="97"/>
        <v>0</v>
      </c>
      <c r="X216" s="40">
        <f t="shared" si="98"/>
        <v>0</v>
      </c>
      <c r="Y216" s="40"/>
      <c r="Z216" s="40">
        <f t="shared" si="100"/>
        <v>0</v>
      </c>
      <c r="AA216" s="40">
        <f t="shared" si="99"/>
        <v>114.8</v>
      </c>
      <c r="AB216" s="43"/>
      <c r="AC216" s="43"/>
      <c r="AD216" s="43"/>
      <c r="AE216" s="43"/>
      <c r="AF216" s="43"/>
      <c r="AG216" s="43"/>
      <c r="AH216" s="43"/>
      <c r="AI216" s="43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</row>
    <row r="217" spans="1:45" s="20" customFormat="1" ht="27.75" customHeight="1">
      <c r="A217" s="73" t="s">
        <v>268</v>
      </c>
      <c r="B217" s="32" t="s">
        <v>248</v>
      </c>
      <c r="C217" s="204" t="s">
        <v>10</v>
      </c>
      <c r="D217" s="237">
        <f>+D210</f>
        <v>4</v>
      </c>
      <c r="E217" s="220" t="s">
        <v>268</v>
      </c>
      <c r="F217" s="32" t="s">
        <v>248</v>
      </c>
      <c r="G217" s="204" t="s">
        <v>10</v>
      </c>
      <c r="H217" s="237">
        <f>+H210</f>
        <v>4</v>
      </c>
      <c r="I217" s="218">
        <f>K217/J217</f>
        <v>1.5909090909090908</v>
      </c>
      <c r="J217" s="41">
        <v>2.2</v>
      </c>
      <c r="K217" s="41">
        <v>3.5</v>
      </c>
      <c r="L217" s="41">
        <v>15</v>
      </c>
      <c r="M217" s="41">
        <v>0.2</v>
      </c>
      <c r="N217" s="74">
        <f t="shared" si="89"/>
        <v>18.7</v>
      </c>
      <c r="O217" s="187">
        <f t="shared" si="90"/>
        <v>6.363636363636363</v>
      </c>
      <c r="P217" s="41">
        <f t="shared" si="91"/>
        <v>14</v>
      </c>
      <c r="Q217" s="41">
        <f t="shared" si="92"/>
        <v>60</v>
      </c>
      <c r="R217" s="41">
        <f t="shared" si="93"/>
        <v>0.8</v>
      </c>
      <c r="S217" s="188">
        <f t="shared" si="94"/>
        <v>74.8</v>
      </c>
      <c r="T217" s="170"/>
      <c r="U217" s="40">
        <f t="shared" si="95"/>
        <v>0</v>
      </c>
      <c r="V217" s="40">
        <f t="shared" si="96"/>
        <v>0</v>
      </c>
      <c r="W217" s="40">
        <f t="shared" si="97"/>
        <v>0</v>
      </c>
      <c r="X217" s="40">
        <f t="shared" si="98"/>
        <v>0</v>
      </c>
      <c r="Y217" s="40"/>
      <c r="Z217" s="40">
        <f t="shared" si="100"/>
        <v>0</v>
      </c>
      <c r="AA217" s="40">
        <f t="shared" si="99"/>
        <v>74.8</v>
      </c>
      <c r="AB217" s="43"/>
      <c r="AC217" s="43"/>
      <c r="AD217" s="43"/>
      <c r="AE217" s="43"/>
      <c r="AF217" s="43"/>
      <c r="AG217" s="43"/>
      <c r="AH217" s="43"/>
      <c r="AI217" s="43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</row>
    <row r="218" spans="1:45" s="20" customFormat="1" ht="15" customHeight="1" thickBot="1">
      <c r="A218" s="129" t="s">
        <v>269</v>
      </c>
      <c r="B218" s="130" t="s">
        <v>13</v>
      </c>
      <c r="C218" s="132" t="s">
        <v>3</v>
      </c>
      <c r="D218" s="241">
        <f>67*1.05</f>
        <v>70.35000000000001</v>
      </c>
      <c r="E218" s="252" t="s">
        <v>269</v>
      </c>
      <c r="F218" s="130" t="s">
        <v>13</v>
      </c>
      <c r="G218" s="132" t="s">
        <v>3</v>
      </c>
      <c r="H218" s="241">
        <f>67*1.05</f>
        <v>70.35000000000001</v>
      </c>
      <c r="I218" s="223">
        <f>K218/J218</f>
        <v>0.6818181818181818</v>
      </c>
      <c r="J218" s="50">
        <v>2.2</v>
      </c>
      <c r="K218" s="84">
        <v>1.5</v>
      </c>
      <c r="L218" s="84">
        <v>1.85</v>
      </c>
      <c r="M218" s="84">
        <v>0.1</v>
      </c>
      <c r="N218" s="132">
        <f t="shared" si="89"/>
        <v>3.45</v>
      </c>
      <c r="O218" s="189">
        <f t="shared" si="90"/>
        <v>47.96590909090909</v>
      </c>
      <c r="P218" s="50">
        <f t="shared" si="91"/>
        <v>105.53</v>
      </c>
      <c r="Q218" s="50">
        <f t="shared" si="92"/>
        <v>130.1475</v>
      </c>
      <c r="R218" s="50">
        <f t="shared" si="93"/>
        <v>7.04</v>
      </c>
      <c r="S218" s="190">
        <f t="shared" si="94"/>
        <v>242.7175</v>
      </c>
      <c r="T218" s="171"/>
      <c r="U218" s="83">
        <f t="shared" si="95"/>
        <v>0</v>
      </c>
      <c r="V218" s="83">
        <f t="shared" si="96"/>
        <v>0</v>
      </c>
      <c r="W218" s="83">
        <f t="shared" si="97"/>
        <v>0</v>
      </c>
      <c r="X218" s="83">
        <f t="shared" si="98"/>
        <v>0</v>
      </c>
      <c r="Y218" s="83"/>
      <c r="Z218" s="83">
        <f t="shared" si="100"/>
        <v>0</v>
      </c>
      <c r="AA218" s="83">
        <f t="shared" si="99"/>
        <v>242.7175</v>
      </c>
      <c r="AB218" s="43"/>
      <c r="AC218" s="43"/>
      <c r="AD218" s="43"/>
      <c r="AE218" s="43"/>
      <c r="AF218" s="43"/>
      <c r="AG218" s="43"/>
      <c r="AH218" s="43"/>
      <c r="AI218" s="43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</row>
    <row r="219" spans="1:39" s="16" customFormat="1" ht="15" customHeight="1" thickBot="1">
      <c r="A219" s="269"/>
      <c r="B219" s="150" t="s">
        <v>336</v>
      </c>
      <c r="C219" s="163"/>
      <c r="D219" s="246"/>
      <c r="E219" s="281"/>
      <c r="F219" s="150" t="s">
        <v>336</v>
      </c>
      <c r="G219" s="167"/>
      <c r="H219" s="246"/>
      <c r="I219" s="226"/>
      <c r="J219" s="152"/>
      <c r="K219" s="151"/>
      <c r="L219" s="151"/>
      <c r="M219" s="151"/>
      <c r="N219" s="167"/>
      <c r="O219" s="196">
        <f>SUM(O205:O218)</f>
        <v>134.1875</v>
      </c>
      <c r="P219" s="152">
        <f>SUM(P205:P218)</f>
        <v>295.22</v>
      </c>
      <c r="Q219" s="152">
        <f>SUM(Q205:Q218)</f>
        <v>2386.510623076923</v>
      </c>
      <c r="R219" s="152">
        <f>SUM(R205:R218)</f>
        <v>11.99</v>
      </c>
      <c r="S219" s="273">
        <f>SUM(S205:S218)</f>
        <v>2693.7206230769234</v>
      </c>
      <c r="T219" s="177"/>
      <c r="U219" s="86">
        <f>SUM(U205:U218)</f>
        <v>15.4</v>
      </c>
      <c r="V219" s="86">
        <f>SUM(V205:V218)</f>
        <v>10</v>
      </c>
      <c r="W219" s="86">
        <f>SUM(W205:W218)</f>
        <v>0.8</v>
      </c>
      <c r="X219" s="86">
        <f>SUM(X205:X218)</f>
        <v>26.2</v>
      </c>
      <c r="Y219" s="86"/>
      <c r="Z219" s="86">
        <f>SUM(Z205:Z218)</f>
        <v>902.8131999999999</v>
      </c>
      <c r="AA219" s="88">
        <f>SUM(AA205:AA218)</f>
        <v>1764.7074230769229</v>
      </c>
      <c r="AB219" s="43"/>
      <c r="AC219" s="43"/>
      <c r="AD219" s="43"/>
      <c r="AE219" s="43"/>
      <c r="AF219" s="43"/>
      <c r="AG219" s="43"/>
      <c r="AH219" s="43"/>
      <c r="AI219" s="43"/>
      <c r="AM219" s="19"/>
    </row>
    <row r="220" spans="1:45" s="20" customFormat="1" ht="43.5" customHeight="1">
      <c r="A220" s="146" t="s">
        <v>74</v>
      </c>
      <c r="B220" s="282" t="s">
        <v>270</v>
      </c>
      <c r="C220" s="156"/>
      <c r="D220" s="233"/>
      <c r="E220" s="265" t="s">
        <v>74</v>
      </c>
      <c r="F220" s="282" t="s">
        <v>270</v>
      </c>
      <c r="G220" s="156"/>
      <c r="H220" s="233"/>
      <c r="I220" s="85"/>
      <c r="J220" s="68"/>
      <c r="K220" s="68"/>
      <c r="L220" s="68"/>
      <c r="M220" s="68"/>
      <c r="N220" s="156"/>
      <c r="O220" s="134"/>
      <c r="P220" s="68"/>
      <c r="Q220" s="68"/>
      <c r="R220" s="68"/>
      <c r="S220" s="186"/>
      <c r="T220" s="170"/>
      <c r="U220" s="40"/>
      <c r="V220" s="40"/>
      <c r="W220" s="40"/>
      <c r="X220" s="40"/>
      <c r="Y220" s="40"/>
      <c r="Z220" s="40"/>
      <c r="AA220" s="40"/>
      <c r="AB220" s="43"/>
      <c r="AC220" s="43"/>
      <c r="AD220" s="43"/>
      <c r="AE220" s="43"/>
      <c r="AF220" s="43"/>
      <c r="AG220" s="43"/>
      <c r="AH220" s="43"/>
      <c r="AI220" s="43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</row>
    <row r="221" spans="1:45" s="20" customFormat="1" ht="13.5" customHeight="1">
      <c r="A221" s="137" t="s">
        <v>95</v>
      </c>
      <c r="B221" s="138" t="s">
        <v>271</v>
      </c>
      <c r="C221" s="107" t="s">
        <v>4</v>
      </c>
      <c r="D221" s="229">
        <f>4.8+20.64+14.8</f>
        <v>40.24</v>
      </c>
      <c r="E221" s="263" t="s">
        <v>95</v>
      </c>
      <c r="F221" s="138" t="s">
        <v>271</v>
      </c>
      <c r="G221" s="107" t="s">
        <v>4</v>
      </c>
      <c r="H221" s="372">
        <v>0</v>
      </c>
      <c r="I221" s="218">
        <f>K221/J221</f>
        <v>0.6818181818181818</v>
      </c>
      <c r="J221" s="41">
        <v>2.2</v>
      </c>
      <c r="K221" s="41">
        <v>1.5</v>
      </c>
      <c r="L221" s="41"/>
      <c r="M221" s="41">
        <v>0.5</v>
      </c>
      <c r="N221" s="74">
        <f aca="true" t="shared" si="101" ref="N221:N234">K221+L221+M221</f>
        <v>2</v>
      </c>
      <c r="O221" s="187">
        <f aca="true" t="shared" si="102" ref="O221:O232">H221*I221</f>
        <v>0</v>
      </c>
      <c r="P221" s="41">
        <f aca="true" t="shared" si="103" ref="P221:P234">ROUND(H221*K221,2)</f>
        <v>0</v>
      </c>
      <c r="Q221" s="41">
        <f aca="true" t="shared" si="104" ref="Q221:Q234">H221*L221</f>
        <v>0</v>
      </c>
      <c r="R221" s="41">
        <f aca="true" t="shared" si="105" ref="R221:R234">ROUND(H221*M221,2)</f>
        <v>0</v>
      </c>
      <c r="S221" s="188">
        <f aca="true" t="shared" si="106" ref="S221:S234">R221+Q221+P221</f>
        <v>0</v>
      </c>
      <c r="T221" s="170"/>
      <c r="U221" s="40">
        <f aca="true" t="shared" si="107" ref="U221:U234">T221*K221</f>
        <v>0</v>
      </c>
      <c r="V221" s="40">
        <f aca="true" t="shared" si="108" ref="V221:V234">T221*L221</f>
        <v>0</v>
      </c>
      <c r="W221" s="40">
        <f aca="true" t="shared" si="109" ref="W221:W234">T221*M221</f>
        <v>0</v>
      </c>
      <c r="X221" s="40">
        <f aca="true" t="shared" si="110" ref="X221:X234">U221+V221+W221</f>
        <v>0</v>
      </c>
      <c r="Y221" s="40"/>
      <c r="Z221" s="40">
        <f t="shared" si="100"/>
        <v>0</v>
      </c>
      <c r="AA221" s="40">
        <f aca="true" t="shared" si="111" ref="AA221:AA234">S221-X221-Z221</f>
        <v>0</v>
      </c>
      <c r="AB221" s="43"/>
      <c r="AC221" s="43"/>
      <c r="AD221" s="43"/>
      <c r="AE221" s="43"/>
      <c r="AF221" s="43"/>
      <c r="AG221" s="43"/>
      <c r="AH221" s="43"/>
      <c r="AI221" s="43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</row>
    <row r="222" spans="1:45" s="20" customFormat="1" ht="38.25" customHeight="1">
      <c r="A222" s="99" t="s">
        <v>96</v>
      </c>
      <c r="B222" s="138" t="s">
        <v>272</v>
      </c>
      <c r="C222" s="107" t="s">
        <v>4</v>
      </c>
      <c r="D222" s="229">
        <f>+D221</f>
        <v>40.24</v>
      </c>
      <c r="E222" s="221" t="s">
        <v>96</v>
      </c>
      <c r="F222" s="138" t="s">
        <v>272</v>
      </c>
      <c r="G222" s="107" t="s">
        <v>4</v>
      </c>
      <c r="H222" s="372">
        <f>+H221</f>
        <v>0</v>
      </c>
      <c r="I222" s="218">
        <f aca="true" t="shared" si="112" ref="I222:I232">K222/J222</f>
        <v>1.8181818181818181</v>
      </c>
      <c r="J222" s="41">
        <v>2.2</v>
      </c>
      <c r="K222" s="41">
        <v>4</v>
      </c>
      <c r="L222" s="41">
        <v>4.5</v>
      </c>
      <c r="M222" s="41">
        <v>1</v>
      </c>
      <c r="N222" s="74">
        <f t="shared" si="101"/>
        <v>9.5</v>
      </c>
      <c r="O222" s="187">
        <f t="shared" si="102"/>
        <v>0</v>
      </c>
      <c r="P222" s="41">
        <f t="shared" si="103"/>
        <v>0</v>
      </c>
      <c r="Q222" s="41">
        <f t="shared" si="104"/>
        <v>0</v>
      </c>
      <c r="R222" s="41">
        <f t="shared" si="105"/>
        <v>0</v>
      </c>
      <c r="S222" s="188">
        <f t="shared" si="106"/>
        <v>0</v>
      </c>
      <c r="T222" s="170"/>
      <c r="U222" s="40">
        <f t="shared" si="107"/>
        <v>0</v>
      </c>
      <c r="V222" s="40">
        <f t="shared" si="108"/>
        <v>0</v>
      </c>
      <c r="W222" s="40">
        <f t="shared" si="109"/>
        <v>0</v>
      </c>
      <c r="X222" s="40">
        <f t="shared" si="110"/>
        <v>0</v>
      </c>
      <c r="Y222" s="40"/>
      <c r="Z222" s="40">
        <f t="shared" si="100"/>
        <v>0</v>
      </c>
      <c r="AA222" s="40">
        <f t="shared" si="111"/>
        <v>0</v>
      </c>
      <c r="AB222" s="43"/>
      <c r="AC222" s="43"/>
      <c r="AD222" s="43"/>
      <c r="AE222" s="43"/>
      <c r="AF222" s="43"/>
      <c r="AG222" s="43"/>
      <c r="AH222" s="43"/>
      <c r="AI222" s="43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</row>
    <row r="223" spans="1:45" s="20" customFormat="1" ht="42.75" customHeight="1">
      <c r="A223" s="99" t="s">
        <v>131</v>
      </c>
      <c r="B223" s="97" t="s">
        <v>288</v>
      </c>
      <c r="C223" s="109" t="s">
        <v>4</v>
      </c>
      <c r="D223" s="230">
        <v>0.32</v>
      </c>
      <c r="E223" s="221" t="s">
        <v>131</v>
      </c>
      <c r="F223" s="97" t="s">
        <v>288</v>
      </c>
      <c r="G223" s="109" t="s">
        <v>4</v>
      </c>
      <c r="H223" s="401">
        <v>0</v>
      </c>
      <c r="I223" s="218">
        <f t="shared" si="112"/>
        <v>0.9090909090909091</v>
      </c>
      <c r="J223" s="41">
        <v>2.2</v>
      </c>
      <c r="K223" s="41">
        <v>2</v>
      </c>
      <c r="L223" s="41">
        <v>1.5</v>
      </c>
      <c r="M223" s="41">
        <v>0.5</v>
      </c>
      <c r="N223" s="74">
        <f t="shared" si="101"/>
        <v>4</v>
      </c>
      <c r="O223" s="187">
        <f t="shared" si="102"/>
        <v>0</v>
      </c>
      <c r="P223" s="41">
        <f t="shared" si="103"/>
        <v>0</v>
      </c>
      <c r="Q223" s="41">
        <f t="shared" si="104"/>
        <v>0</v>
      </c>
      <c r="R223" s="41">
        <f t="shared" si="105"/>
        <v>0</v>
      </c>
      <c r="S223" s="188">
        <f t="shared" si="106"/>
        <v>0</v>
      </c>
      <c r="T223" s="170"/>
      <c r="U223" s="40">
        <f t="shared" si="107"/>
        <v>0</v>
      </c>
      <c r="V223" s="40">
        <f t="shared" si="108"/>
        <v>0</v>
      </c>
      <c r="W223" s="40">
        <f t="shared" si="109"/>
        <v>0</v>
      </c>
      <c r="X223" s="40">
        <f t="shared" si="110"/>
        <v>0</v>
      </c>
      <c r="Y223" s="40"/>
      <c r="Z223" s="40">
        <f t="shared" si="100"/>
        <v>0</v>
      </c>
      <c r="AA223" s="40">
        <f t="shared" si="111"/>
        <v>0</v>
      </c>
      <c r="AB223" s="43"/>
      <c r="AC223" s="43"/>
      <c r="AD223" s="43"/>
      <c r="AE223" s="43"/>
      <c r="AF223" s="43"/>
      <c r="AG223" s="43"/>
      <c r="AH223" s="43"/>
      <c r="AI223" s="43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</row>
    <row r="224" spans="1:45" s="20" customFormat="1" ht="32.25" customHeight="1">
      <c r="A224" s="99" t="s">
        <v>244</v>
      </c>
      <c r="B224" s="32" t="s">
        <v>73</v>
      </c>
      <c r="C224" s="74" t="s">
        <v>4</v>
      </c>
      <c r="D224" s="230">
        <f>30*0.25</f>
        <v>7.5</v>
      </c>
      <c r="E224" s="221" t="s">
        <v>244</v>
      </c>
      <c r="F224" s="136" t="s">
        <v>73</v>
      </c>
      <c r="G224" s="74" t="s">
        <v>4</v>
      </c>
      <c r="H224" s="401">
        <v>0</v>
      </c>
      <c r="I224" s="218">
        <f t="shared" si="112"/>
        <v>0.9090909090909091</v>
      </c>
      <c r="J224" s="41">
        <v>2.2</v>
      </c>
      <c r="K224" s="41">
        <v>2</v>
      </c>
      <c r="L224" s="41">
        <v>1.5</v>
      </c>
      <c r="M224" s="41">
        <v>0.5</v>
      </c>
      <c r="N224" s="74">
        <f t="shared" si="101"/>
        <v>4</v>
      </c>
      <c r="O224" s="187">
        <f t="shared" si="102"/>
        <v>0</v>
      </c>
      <c r="P224" s="41">
        <f t="shared" si="103"/>
        <v>0</v>
      </c>
      <c r="Q224" s="41">
        <f t="shared" si="104"/>
        <v>0</v>
      </c>
      <c r="R224" s="41">
        <f t="shared" si="105"/>
        <v>0</v>
      </c>
      <c r="S224" s="188">
        <f t="shared" si="106"/>
        <v>0</v>
      </c>
      <c r="T224" s="170"/>
      <c r="U224" s="40">
        <f t="shared" si="107"/>
        <v>0</v>
      </c>
      <c r="V224" s="40">
        <f t="shared" si="108"/>
        <v>0</v>
      </c>
      <c r="W224" s="40">
        <f t="shared" si="109"/>
        <v>0</v>
      </c>
      <c r="X224" s="40">
        <f t="shared" si="110"/>
        <v>0</v>
      </c>
      <c r="Y224" s="40"/>
      <c r="Z224" s="40">
        <f t="shared" si="100"/>
        <v>0</v>
      </c>
      <c r="AA224" s="40">
        <f t="shared" si="111"/>
        <v>0</v>
      </c>
      <c r="AB224" s="43"/>
      <c r="AC224" s="43"/>
      <c r="AD224" s="43"/>
      <c r="AE224" s="43"/>
      <c r="AF224" s="43"/>
      <c r="AG224" s="43"/>
      <c r="AH224" s="43"/>
      <c r="AI224" s="43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</row>
    <row r="225" spans="1:45" s="20" customFormat="1" ht="15" customHeight="1">
      <c r="A225" s="99" t="s">
        <v>246</v>
      </c>
      <c r="B225" s="97" t="s">
        <v>278</v>
      </c>
      <c r="C225" s="199" t="s">
        <v>4</v>
      </c>
      <c r="D225" s="229">
        <v>72</v>
      </c>
      <c r="E225" s="262" t="s">
        <v>432</v>
      </c>
      <c r="F225" s="97" t="s">
        <v>278</v>
      </c>
      <c r="G225" s="199" t="s">
        <v>4</v>
      </c>
      <c r="H225" s="372">
        <v>0</v>
      </c>
      <c r="I225" s="218">
        <f t="shared" si="112"/>
        <v>1.1363636363636362</v>
      </c>
      <c r="J225" s="41">
        <v>2.2</v>
      </c>
      <c r="K225" s="41">
        <v>2.5</v>
      </c>
      <c r="L225" s="41">
        <v>2</v>
      </c>
      <c r="M225" s="41">
        <v>0.2</v>
      </c>
      <c r="N225" s="74">
        <f t="shared" si="101"/>
        <v>4.7</v>
      </c>
      <c r="O225" s="187">
        <f t="shared" si="102"/>
        <v>0</v>
      </c>
      <c r="P225" s="41">
        <f t="shared" si="103"/>
        <v>0</v>
      </c>
      <c r="Q225" s="41">
        <f t="shared" si="104"/>
        <v>0</v>
      </c>
      <c r="R225" s="41">
        <f t="shared" si="105"/>
        <v>0</v>
      </c>
      <c r="S225" s="188">
        <f t="shared" si="106"/>
        <v>0</v>
      </c>
      <c r="T225" s="170"/>
      <c r="U225" s="40">
        <f t="shared" si="107"/>
        <v>0</v>
      </c>
      <c r="V225" s="40">
        <f t="shared" si="108"/>
        <v>0</v>
      </c>
      <c r="W225" s="40">
        <f t="shared" si="109"/>
        <v>0</v>
      </c>
      <c r="X225" s="40">
        <f t="shared" si="110"/>
        <v>0</v>
      </c>
      <c r="Y225" s="40"/>
      <c r="Z225" s="40">
        <f t="shared" si="100"/>
        <v>0</v>
      </c>
      <c r="AA225" s="40">
        <f t="shared" si="111"/>
        <v>0</v>
      </c>
      <c r="AB225" s="43"/>
      <c r="AC225" s="43"/>
      <c r="AD225" s="43"/>
      <c r="AE225" s="43"/>
      <c r="AF225" s="43"/>
      <c r="AG225" s="43"/>
      <c r="AH225" s="43"/>
      <c r="AI225" s="43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</row>
    <row r="226" spans="1:45" s="20" customFormat="1" ht="15" customHeight="1">
      <c r="A226" s="99" t="s">
        <v>247</v>
      </c>
      <c r="B226" s="97" t="s">
        <v>279</v>
      </c>
      <c r="C226" s="199" t="s">
        <v>4</v>
      </c>
      <c r="D226" s="229">
        <f>+D225</f>
        <v>72</v>
      </c>
      <c r="E226" s="262" t="s">
        <v>462</v>
      </c>
      <c r="F226" s="97" t="s">
        <v>279</v>
      </c>
      <c r="G226" s="199" t="s">
        <v>4</v>
      </c>
      <c r="H226" s="372">
        <v>0</v>
      </c>
      <c r="I226" s="218">
        <f t="shared" si="112"/>
        <v>0.8863636363636362</v>
      </c>
      <c r="J226" s="41">
        <v>2.2</v>
      </c>
      <c r="K226" s="41">
        <v>1.95</v>
      </c>
      <c r="L226" s="41">
        <v>1</v>
      </c>
      <c r="M226" s="41">
        <v>0.2</v>
      </c>
      <c r="N226" s="74">
        <f t="shared" si="101"/>
        <v>3.1500000000000004</v>
      </c>
      <c r="O226" s="187">
        <f t="shared" si="102"/>
        <v>0</v>
      </c>
      <c r="P226" s="41">
        <f t="shared" si="103"/>
        <v>0</v>
      </c>
      <c r="Q226" s="41">
        <f t="shared" si="104"/>
        <v>0</v>
      </c>
      <c r="R226" s="41">
        <f t="shared" si="105"/>
        <v>0</v>
      </c>
      <c r="S226" s="188">
        <f t="shared" si="106"/>
        <v>0</v>
      </c>
      <c r="T226" s="170"/>
      <c r="U226" s="40">
        <f t="shared" si="107"/>
        <v>0</v>
      </c>
      <c r="V226" s="40">
        <f t="shared" si="108"/>
        <v>0</v>
      </c>
      <c r="W226" s="40">
        <f t="shared" si="109"/>
        <v>0</v>
      </c>
      <c r="X226" s="40">
        <f t="shared" si="110"/>
        <v>0</v>
      </c>
      <c r="Y226" s="40"/>
      <c r="Z226" s="40">
        <f t="shared" si="100"/>
        <v>0</v>
      </c>
      <c r="AA226" s="40">
        <f t="shared" si="111"/>
        <v>0</v>
      </c>
      <c r="AB226" s="43"/>
      <c r="AC226" s="43"/>
      <c r="AD226" s="43"/>
      <c r="AE226" s="43"/>
      <c r="AF226" s="43"/>
      <c r="AG226" s="43"/>
      <c r="AH226" s="43"/>
      <c r="AI226" s="43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</row>
    <row r="227" spans="1:45" s="20" customFormat="1" ht="27" customHeight="1">
      <c r="A227" s="99" t="s">
        <v>249</v>
      </c>
      <c r="B227" s="97" t="s">
        <v>280</v>
      </c>
      <c r="C227" s="199" t="s">
        <v>4</v>
      </c>
      <c r="D227" s="229">
        <f>+D226</f>
        <v>72</v>
      </c>
      <c r="E227" s="262" t="s">
        <v>463</v>
      </c>
      <c r="F227" s="97" t="s">
        <v>280</v>
      </c>
      <c r="G227" s="199" t="s">
        <v>4</v>
      </c>
      <c r="H227" s="372">
        <v>0</v>
      </c>
      <c r="I227" s="218">
        <f t="shared" si="112"/>
        <v>0.5454545454545454</v>
      </c>
      <c r="J227" s="41">
        <v>2.2</v>
      </c>
      <c r="K227" s="41">
        <v>1.2</v>
      </c>
      <c r="L227" s="41">
        <v>1</v>
      </c>
      <c r="M227" s="41">
        <v>0.2</v>
      </c>
      <c r="N227" s="74">
        <f t="shared" si="101"/>
        <v>2.4000000000000004</v>
      </c>
      <c r="O227" s="187">
        <f t="shared" si="102"/>
        <v>0</v>
      </c>
      <c r="P227" s="41">
        <f t="shared" si="103"/>
        <v>0</v>
      </c>
      <c r="Q227" s="41">
        <f t="shared" si="104"/>
        <v>0</v>
      </c>
      <c r="R227" s="41">
        <f t="shared" si="105"/>
        <v>0</v>
      </c>
      <c r="S227" s="188">
        <f t="shared" si="106"/>
        <v>0</v>
      </c>
      <c r="T227" s="170"/>
      <c r="U227" s="40">
        <f t="shared" si="107"/>
        <v>0</v>
      </c>
      <c r="V227" s="40">
        <f t="shared" si="108"/>
        <v>0</v>
      </c>
      <c r="W227" s="40">
        <f t="shared" si="109"/>
        <v>0</v>
      </c>
      <c r="X227" s="40">
        <f t="shared" si="110"/>
        <v>0</v>
      </c>
      <c r="Y227" s="40"/>
      <c r="Z227" s="40">
        <f t="shared" si="100"/>
        <v>0</v>
      </c>
      <c r="AA227" s="40">
        <f t="shared" si="111"/>
        <v>0</v>
      </c>
      <c r="AB227" s="43"/>
      <c r="AC227" s="43"/>
      <c r="AD227" s="43"/>
      <c r="AE227" s="43"/>
      <c r="AF227" s="43"/>
      <c r="AG227" s="43"/>
      <c r="AH227" s="43"/>
      <c r="AI227" s="43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</row>
    <row r="228" spans="1:45" s="20" customFormat="1" ht="15" customHeight="1">
      <c r="A228" s="99" t="s">
        <v>284</v>
      </c>
      <c r="B228" s="97" t="s">
        <v>281</v>
      </c>
      <c r="C228" s="199" t="s">
        <v>4</v>
      </c>
      <c r="D228" s="229">
        <v>130</v>
      </c>
      <c r="E228" s="262" t="s">
        <v>464</v>
      </c>
      <c r="F228" s="97" t="s">
        <v>281</v>
      </c>
      <c r="G228" s="199" t="s">
        <v>4</v>
      </c>
      <c r="H228" s="372">
        <v>0</v>
      </c>
      <c r="I228" s="218">
        <f t="shared" si="112"/>
        <v>0.8409090909090908</v>
      </c>
      <c r="J228" s="41">
        <v>2.2</v>
      </c>
      <c r="K228" s="41">
        <v>1.85</v>
      </c>
      <c r="L228" s="41">
        <v>1.8</v>
      </c>
      <c r="M228" s="41">
        <v>0.2</v>
      </c>
      <c r="N228" s="74">
        <f t="shared" si="101"/>
        <v>3.8500000000000005</v>
      </c>
      <c r="O228" s="187">
        <f t="shared" si="102"/>
        <v>0</v>
      </c>
      <c r="P228" s="41">
        <f t="shared" si="103"/>
        <v>0</v>
      </c>
      <c r="Q228" s="41">
        <f t="shared" si="104"/>
        <v>0</v>
      </c>
      <c r="R228" s="41">
        <f t="shared" si="105"/>
        <v>0</v>
      </c>
      <c r="S228" s="188">
        <f t="shared" si="106"/>
        <v>0</v>
      </c>
      <c r="T228" s="170"/>
      <c r="U228" s="40">
        <f t="shared" si="107"/>
        <v>0</v>
      </c>
      <c r="V228" s="40">
        <f t="shared" si="108"/>
        <v>0</v>
      </c>
      <c r="W228" s="40">
        <f t="shared" si="109"/>
        <v>0</v>
      </c>
      <c r="X228" s="40">
        <f t="shared" si="110"/>
        <v>0</v>
      </c>
      <c r="Y228" s="40"/>
      <c r="Z228" s="40">
        <f t="shared" si="100"/>
        <v>0</v>
      </c>
      <c r="AA228" s="40">
        <f t="shared" si="111"/>
        <v>0</v>
      </c>
      <c r="AB228" s="43"/>
      <c r="AC228" s="43"/>
      <c r="AD228" s="43"/>
      <c r="AE228" s="43"/>
      <c r="AF228" s="43"/>
      <c r="AG228" s="43"/>
      <c r="AH228" s="43"/>
      <c r="AI228" s="43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</row>
    <row r="229" spans="1:45" s="20" customFormat="1" ht="15" customHeight="1">
      <c r="A229" s="99" t="s">
        <v>285</v>
      </c>
      <c r="B229" s="97" t="s">
        <v>282</v>
      </c>
      <c r="C229" s="199" t="s">
        <v>4</v>
      </c>
      <c r="D229" s="229">
        <f>+D228</f>
        <v>130</v>
      </c>
      <c r="E229" s="262" t="s">
        <v>465</v>
      </c>
      <c r="F229" s="97" t="s">
        <v>282</v>
      </c>
      <c r="G229" s="199" t="s">
        <v>4</v>
      </c>
      <c r="H229" s="372">
        <v>0</v>
      </c>
      <c r="I229" s="218">
        <f t="shared" si="112"/>
        <v>0.8181818181818181</v>
      </c>
      <c r="J229" s="41">
        <v>2.2</v>
      </c>
      <c r="K229" s="41">
        <v>1.8</v>
      </c>
      <c r="L229" s="41">
        <v>1</v>
      </c>
      <c r="M229" s="41">
        <v>0.2</v>
      </c>
      <c r="N229" s="74">
        <f t="shared" si="101"/>
        <v>3</v>
      </c>
      <c r="O229" s="187">
        <f t="shared" si="102"/>
        <v>0</v>
      </c>
      <c r="P229" s="41">
        <f t="shared" si="103"/>
        <v>0</v>
      </c>
      <c r="Q229" s="41">
        <f t="shared" si="104"/>
        <v>0</v>
      </c>
      <c r="R229" s="41">
        <f t="shared" si="105"/>
        <v>0</v>
      </c>
      <c r="S229" s="188">
        <f t="shared" si="106"/>
        <v>0</v>
      </c>
      <c r="T229" s="170"/>
      <c r="U229" s="40">
        <f t="shared" si="107"/>
        <v>0</v>
      </c>
      <c r="V229" s="40">
        <f t="shared" si="108"/>
        <v>0</v>
      </c>
      <c r="W229" s="40">
        <f t="shared" si="109"/>
        <v>0</v>
      </c>
      <c r="X229" s="40">
        <f t="shared" si="110"/>
        <v>0</v>
      </c>
      <c r="Y229" s="40"/>
      <c r="Z229" s="40">
        <f t="shared" si="100"/>
        <v>0</v>
      </c>
      <c r="AA229" s="40">
        <f t="shared" si="111"/>
        <v>0</v>
      </c>
      <c r="AB229" s="43"/>
      <c r="AC229" s="43"/>
      <c r="AD229" s="43"/>
      <c r="AE229" s="43"/>
      <c r="AF229" s="43"/>
      <c r="AG229" s="43"/>
      <c r="AH229" s="43"/>
      <c r="AI229" s="43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</row>
    <row r="230" spans="1:45" s="20" customFormat="1" ht="15" customHeight="1">
      <c r="A230" s="291" t="s">
        <v>286</v>
      </c>
      <c r="B230" s="37" t="s">
        <v>283</v>
      </c>
      <c r="C230" s="199" t="s">
        <v>4</v>
      </c>
      <c r="D230" s="229">
        <f>+D229</f>
        <v>130</v>
      </c>
      <c r="E230" s="262" t="s">
        <v>466</v>
      </c>
      <c r="F230" s="37" t="s">
        <v>283</v>
      </c>
      <c r="G230" s="199" t="s">
        <v>4</v>
      </c>
      <c r="H230" s="372">
        <v>0</v>
      </c>
      <c r="I230" s="218">
        <f t="shared" si="112"/>
        <v>0.45454545454545453</v>
      </c>
      <c r="J230" s="41">
        <v>2.2</v>
      </c>
      <c r="K230" s="41">
        <v>1</v>
      </c>
      <c r="L230" s="41">
        <v>1.2</v>
      </c>
      <c r="M230" s="41">
        <v>0.2</v>
      </c>
      <c r="N230" s="74">
        <f t="shared" si="101"/>
        <v>2.4000000000000004</v>
      </c>
      <c r="O230" s="187">
        <f t="shared" si="102"/>
        <v>0</v>
      </c>
      <c r="P230" s="41">
        <f t="shared" si="103"/>
        <v>0</v>
      </c>
      <c r="Q230" s="41">
        <f t="shared" si="104"/>
        <v>0</v>
      </c>
      <c r="R230" s="41">
        <f t="shared" si="105"/>
        <v>0</v>
      </c>
      <c r="S230" s="188">
        <f t="shared" si="106"/>
        <v>0</v>
      </c>
      <c r="T230" s="170"/>
      <c r="U230" s="40">
        <f t="shared" si="107"/>
        <v>0</v>
      </c>
      <c r="V230" s="40">
        <f t="shared" si="108"/>
        <v>0</v>
      </c>
      <c r="W230" s="40">
        <f t="shared" si="109"/>
        <v>0</v>
      </c>
      <c r="X230" s="40">
        <f t="shared" si="110"/>
        <v>0</v>
      </c>
      <c r="Y230" s="40"/>
      <c r="Z230" s="40">
        <f t="shared" si="100"/>
        <v>0</v>
      </c>
      <c r="AA230" s="40">
        <f t="shared" si="111"/>
        <v>0</v>
      </c>
      <c r="AB230" s="43"/>
      <c r="AC230" s="43"/>
      <c r="AD230" s="43"/>
      <c r="AE230" s="43"/>
      <c r="AF230" s="43"/>
      <c r="AG230" s="43"/>
      <c r="AH230" s="43"/>
      <c r="AI230" s="43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</row>
    <row r="231" spans="1:45" s="20" customFormat="1" ht="19.5" customHeight="1">
      <c r="A231" s="291" t="s">
        <v>287</v>
      </c>
      <c r="B231" s="97" t="s">
        <v>290</v>
      </c>
      <c r="C231" s="109" t="s">
        <v>3</v>
      </c>
      <c r="D231" s="230">
        <v>71</v>
      </c>
      <c r="E231" s="262" t="s">
        <v>287</v>
      </c>
      <c r="F231" s="97" t="s">
        <v>290</v>
      </c>
      <c r="G231" s="109" t="s">
        <v>3</v>
      </c>
      <c r="H231" s="401">
        <v>0</v>
      </c>
      <c r="I231" s="218">
        <f t="shared" si="112"/>
        <v>1.8181818181818181</v>
      </c>
      <c r="J231" s="41">
        <v>2.2</v>
      </c>
      <c r="K231" s="41">
        <v>4</v>
      </c>
      <c r="L231" s="41">
        <v>2</v>
      </c>
      <c r="M231" s="41">
        <v>1</v>
      </c>
      <c r="N231" s="74">
        <f t="shared" si="101"/>
        <v>7</v>
      </c>
      <c r="O231" s="187">
        <f t="shared" si="102"/>
        <v>0</v>
      </c>
      <c r="P231" s="41">
        <f t="shared" si="103"/>
        <v>0</v>
      </c>
      <c r="Q231" s="41">
        <f t="shared" si="104"/>
        <v>0</v>
      </c>
      <c r="R231" s="41">
        <f t="shared" si="105"/>
        <v>0</v>
      </c>
      <c r="S231" s="188">
        <f t="shared" si="106"/>
        <v>0</v>
      </c>
      <c r="T231" s="170"/>
      <c r="U231" s="40">
        <f t="shared" si="107"/>
        <v>0</v>
      </c>
      <c r="V231" s="40">
        <f t="shared" si="108"/>
        <v>0</v>
      </c>
      <c r="W231" s="40">
        <f t="shared" si="109"/>
        <v>0</v>
      </c>
      <c r="X231" s="40">
        <f t="shared" si="110"/>
        <v>0</v>
      </c>
      <c r="Y231" s="40"/>
      <c r="Z231" s="40">
        <f t="shared" si="100"/>
        <v>0</v>
      </c>
      <c r="AA231" s="40">
        <f t="shared" si="111"/>
        <v>0</v>
      </c>
      <c r="AB231" s="43"/>
      <c r="AC231" s="43"/>
      <c r="AD231" s="43"/>
      <c r="AE231" s="43"/>
      <c r="AF231" s="43"/>
      <c r="AG231" s="43"/>
      <c r="AH231" s="43"/>
      <c r="AI231" s="43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</row>
    <row r="232" spans="1:36" s="16" customFormat="1" ht="24.75" customHeight="1" thickBot="1">
      <c r="A232" s="430" t="s">
        <v>289</v>
      </c>
      <c r="B232" s="32" t="s">
        <v>273</v>
      </c>
      <c r="C232" s="107" t="s">
        <v>8</v>
      </c>
      <c r="D232" s="229">
        <v>4</v>
      </c>
      <c r="E232" s="221" t="s">
        <v>289</v>
      </c>
      <c r="F232" s="32" t="s">
        <v>459</v>
      </c>
      <c r="G232" s="107" t="s">
        <v>8</v>
      </c>
      <c r="H232" s="372">
        <v>0</v>
      </c>
      <c r="I232" s="218">
        <f t="shared" si="112"/>
        <v>2.2727272727272725</v>
      </c>
      <c r="J232" s="41">
        <v>2.2</v>
      </c>
      <c r="K232" s="41">
        <v>5</v>
      </c>
      <c r="L232" s="41">
        <v>120</v>
      </c>
      <c r="M232" s="41">
        <v>5</v>
      </c>
      <c r="N232" s="74">
        <f t="shared" si="101"/>
        <v>130</v>
      </c>
      <c r="O232" s="187">
        <f t="shared" si="102"/>
        <v>0</v>
      </c>
      <c r="P232" s="41">
        <f t="shared" si="103"/>
        <v>0</v>
      </c>
      <c r="Q232" s="41">
        <f t="shared" si="104"/>
        <v>0</v>
      </c>
      <c r="R232" s="41">
        <f t="shared" si="105"/>
        <v>0</v>
      </c>
      <c r="S232" s="41">
        <f t="shared" si="106"/>
        <v>0</v>
      </c>
      <c r="T232" s="171"/>
      <c r="U232" s="40">
        <f t="shared" si="107"/>
        <v>0</v>
      </c>
      <c r="V232" s="40">
        <f t="shared" si="108"/>
        <v>0</v>
      </c>
      <c r="W232" s="40">
        <f t="shared" si="109"/>
        <v>0</v>
      </c>
      <c r="X232" s="40">
        <f t="shared" si="110"/>
        <v>0</v>
      </c>
      <c r="Y232" s="83"/>
      <c r="Z232" s="40">
        <f t="shared" si="100"/>
        <v>0</v>
      </c>
      <c r="AA232" s="83">
        <f t="shared" si="111"/>
        <v>0</v>
      </c>
      <c r="AB232" s="43"/>
      <c r="AC232" s="43"/>
      <c r="AD232" s="43"/>
      <c r="AE232" s="43"/>
      <c r="AF232" s="43"/>
      <c r="AG232" s="43"/>
      <c r="AH232" s="43"/>
      <c r="AI232" s="43"/>
      <c r="AJ232" s="390"/>
    </row>
    <row r="233" spans="1:36" s="16" customFormat="1" ht="29.25" customHeight="1" thickBot="1">
      <c r="A233" s="425"/>
      <c r="B233" s="426"/>
      <c r="C233" s="156"/>
      <c r="D233" s="233"/>
      <c r="E233" s="427" t="s">
        <v>456</v>
      </c>
      <c r="F233" s="436" t="s">
        <v>480</v>
      </c>
      <c r="G233" s="156" t="s">
        <v>363</v>
      </c>
      <c r="H233" s="233">
        <v>4</v>
      </c>
      <c r="I233" s="428">
        <v>12</v>
      </c>
      <c r="J233" s="88">
        <v>3</v>
      </c>
      <c r="K233" s="88">
        <v>36</v>
      </c>
      <c r="L233" s="88">
        <v>85</v>
      </c>
      <c r="M233" s="88">
        <v>2.2</v>
      </c>
      <c r="N233" s="92">
        <f t="shared" si="101"/>
        <v>123.2</v>
      </c>
      <c r="O233" s="429">
        <f>H233*I233</f>
        <v>48</v>
      </c>
      <c r="P233" s="88">
        <f t="shared" si="103"/>
        <v>144</v>
      </c>
      <c r="Q233" s="88">
        <f t="shared" si="104"/>
        <v>340</v>
      </c>
      <c r="R233" s="88">
        <f t="shared" si="105"/>
        <v>8.8</v>
      </c>
      <c r="S233" s="88">
        <f t="shared" si="106"/>
        <v>492.8</v>
      </c>
      <c r="T233" s="424"/>
      <c r="U233" s="104">
        <f t="shared" si="107"/>
        <v>0</v>
      </c>
      <c r="V233" s="104">
        <f t="shared" si="108"/>
        <v>0</v>
      </c>
      <c r="W233" s="104">
        <f t="shared" si="109"/>
        <v>0</v>
      </c>
      <c r="X233" s="104">
        <f t="shared" si="110"/>
        <v>0</v>
      </c>
      <c r="Y233" s="368"/>
      <c r="Z233" s="104">
        <f t="shared" si="100"/>
        <v>0</v>
      </c>
      <c r="AA233" s="368">
        <f t="shared" si="111"/>
        <v>492.8</v>
      </c>
      <c r="AB233" s="43"/>
      <c r="AC233" s="43"/>
      <c r="AD233" s="43"/>
      <c r="AE233" s="43"/>
      <c r="AF233" s="43"/>
      <c r="AG233" s="43"/>
      <c r="AH233" s="43"/>
      <c r="AI233" s="43"/>
      <c r="AJ233" s="390"/>
    </row>
    <row r="234" spans="1:35" s="16" customFormat="1" ht="27.75" customHeight="1" thickBot="1">
      <c r="A234" s="421"/>
      <c r="B234" s="347"/>
      <c r="C234" s="248"/>
      <c r="D234" s="242"/>
      <c r="E234" s="422" t="s">
        <v>457</v>
      </c>
      <c r="F234" s="437" t="s">
        <v>458</v>
      </c>
      <c r="G234" s="248" t="s">
        <v>363</v>
      </c>
      <c r="H234" s="242">
        <v>4</v>
      </c>
      <c r="I234" s="423">
        <v>36</v>
      </c>
      <c r="J234" s="144">
        <v>4.5</v>
      </c>
      <c r="K234" s="144">
        <v>162</v>
      </c>
      <c r="L234" s="144">
        <v>250</v>
      </c>
      <c r="M234" s="144">
        <v>1.5</v>
      </c>
      <c r="N234" s="166">
        <f t="shared" si="101"/>
        <v>413.5</v>
      </c>
      <c r="O234" s="195">
        <f>H234*I234</f>
        <v>144</v>
      </c>
      <c r="P234" s="144">
        <f t="shared" si="103"/>
        <v>648</v>
      </c>
      <c r="Q234" s="144">
        <f t="shared" si="104"/>
        <v>1000</v>
      </c>
      <c r="R234" s="144">
        <f t="shared" si="105"/>
        <v>6</v>
      </c>
      <c r="S234" s="292">
        <f t="shared" si="106"/>
        <v>1654</v>
      </c>
      <c r="T234" s="424"/>
      <c r="U234" s="104">
        <f t="shared" si="107"/>
        <v>0</v>
      </c>
      <c r="V234" s="104">
        <f t="shared" si="108"/>
        <v>0</v>
      </c>
      <c r="W234" s="104">
        <f t="shared" si="109"/>
        <v>0</v>
      </c>
      <c r="X234" s="104">
        <f t="shared" si="110"/>
        <v>0</v>
      </c>
      <c r="Y234" s="368"/>
      <c r="Z234" s="104">
        <f t="shared" si="100"/>
        <v>0</v>
      </c>
      <c r="AA234" s="368">
        <f t="shared" si="111"/>
        <v>1654</v>
      </c>
      <c r="AB234" s="43"/>
      <c r="AC234" s="43"/>
      <c r="AD234" s="43"/>
      <c r="AE234" s="43"/>
      <c r="AF234" s="43"/>
      <c r="AG234" s="43"/>
      <c r="AH234" s="43"/>
      <c r="AI234" s="43"/>
    </row>
    <row r="235" spans="1:45" s="20" customFormat="1" ht="15" customHeight="1" thickBot="1">
      <c r="A235" s="139"/>
      <c r="B235" s="140" t="s">
        <v>336</v>
      </c>
      <c r="C235" s="248"/>
      <c r="D235" s="242"/>
      <c r="E235" s="264"/>
      <c r="F235" s="141"/>
      <c r="G235" s="141"/>
      <c r="H235" s="242"/>
      <c r="I235" s="224"/>
      <c r="J235" s="57"/>
      <c r="K235" s="57"/>
      <c r="L235" s="57"/>
      <c r="M235" s="57"/>
      <c r="N235" s="166"/>
      <c r="O235" s="195">
        <f>SUM(O221:O234)</f>
        <v>192</v>
      </c>
      <c r="P235" s="144">
        <f>SUM(P221:P234)</f>
        <v>792</v>
      </c>
      <c r="Q235" s="144">
        <f>SUM(Q221:Q234)</f>
        <v>1340</v>
      </c>
      <c r="R235" s="144">
        <f>SUM(R221:R234)</f>
        <v>14.8</v>
      </c>
      <c r="S235" s="292">
        <f>SUM(S221:S234)</f>
        <v>2146.8</v>
      </c>
      <c r="T235" s="182"/>
      <c r="U235" s="145">
        <f>SUM(U221:U234)</f>
        <v>0</v>
      </c>
      <c r="V235" s="145">
        <f>SUM(V221:V234)</f>
        <v>0</v>
      </c>
      <c r="W235" s="145">
        <f>SUM(W221:W234)</f>
        <v>0</v>
      </c>
      <c r="X235" s="145">
        <f>SUM(X221:X234)</f>
        <v>0</v>
      </c>
      <c r="Y235" s="145"/>
      <c r="Z235" s="145">
        <f>SUM(Z221:Z234)</f>
        <v>0</v>
      </c>
      <c r="AA235" s="144">
        <f>SUM(AA221:AA234)</f>
        <v>2146.8</v>
      </c>
      <c r="AB235" s="43"/>
      <c r="AC235" s="43"/>
      <c r="AD235" s="43"/>
      <c r="AE235" s="43"/>
      <c r="AF235" s="43"/>
      <c r="AG235" s="43"/>
      <c r="AH235" s="43"/>
      <c r="AI235" s="43"/>
      <c r="AJ235" s="16"/>
      <c r="AK235" s="16"/>
      <c r="AL235" s="16"/>
      <c r="AM235" s="19"/>
      <c r="AN235" s="16"/>
      <c r="AO235" s="16"/>
      <c r="AP235" s="16"/>
      <c r="AQ235" s="16"/>
      <c r="AR235" s="16"/>
      <c r="AS235" s="16"/>
    </row>
    <row r="236" spans="1:35" s="16" customFormat="1" ht="15" customHeight="1">
      <c r="A236" s="146" t="s">
        <v>135</v>
      </c>
      <c r="B236" s="147" t="s">
        <v>81</v>
      </c>
      <c r="C236" s="156"/>
      <c r="D236" s="233"/>
      <c r="E236" s="265" t="s">
        <v>135</v>
      </c>
      <c r="F236" s="147" t="s">
        <v>81</v>
      </c>
      <c r="G236" s="156"/>
      <c r="H236" s="233"/>
      <c r="I236" s="85"/>
      <c r="J236" s="68"/>
      <c r="K236" s="68"/>
      <c r="L236" s="68"/>
      <c r="M236" s="68"/>
      <c r="N236" s="156"/>
      <c r="O236" s="134"/>
      <c r="P236" s="68"/>
      <c r="Q236" s="68"/>
      <c r="R236" s="68"/>
      <c r="S236" s="186"/>
      <c r="T236" s="177"/>
      <c r="U236" s="86"/>
      <c r="V236" s="86"/>
      <c r="W236" s="86"/>
      <c r="X236" s="86"/>
      <c r="Y236" s="86"/>
      <c r="Z236" s="40"/>
      <c r="AA236" s="40"/>
      <c r="AB236" s="43"/>
      <c r="AC236" s="43"/>
      <c r="AD236" s="43"/>
      <c r="AE236" s="43"/>
      <c r="AF236" s="43"/>
      <c r="AG236" s="43"/>
      <c r="AH236" s="43"/>
      <c r="AI236" s="43"/>
    </row>
    <row r="237" spans="1:35" s="16" customFormat="1" ht="45" customHeight="1">
      <c r="A237" s="99" t="s">
        <v>138</v>
      </c>
      <c r="B237" s="32" t="s">
        <v>250</v>
      </c>
      <c r="C237" s="107" t="s">
        <v>4</v>
      </c>
      <c r="D237" s="229">
        <v>14.5</v>
      </c>
      <c r="E237" s="221" t="s">
        <v>138</v>
      </c>
      <c r="F237" s="32" t="s">
        <v>250</v>
      </c>
      <c r="G237" s="107" t="s">
        <v>4</v>
      </c>
      <c r="H237" s="229">
        <v>14.5</v>
      </c>
      <c r="I237" s="218">
        <f aca="true" t="shared" si="113" ref="I237:I242">K237/J237</f>
        <v>1.3636363636363635</v>
      </c>
      <c r="J237" s="41">
        <v>2.2</v>
      </c>
      <c r="K237" s="34">
        <v>3</v>
      </c>
      <c r="L237" s="34">
        <v>3</v>
      </c>
      <c r="M237" s="34">
        <v>0.2</v>
      </c>
      <c r="N237" s="74">
        <f aca="true" t="shared" si="114" ref="N237:N252">K237+L237+M237</f>
        <v>6.2</v>
      </c>
      <c r="O237" s="187">
        <f aca="true" t="shared" si="115" ref="O237:O252">H237*I237</f>
        <v>19.77272727272727</v>
      </c>
      <c r="P237" s="41">
        <f aca="true" t="shared" si="116" ref="P237:P252">ROUND(H237*K237,2)</f>
        <v>43.5</v>
      </c>
      <c r="Q237" s="41">
        <f aca="true" t="shared" si="117" ref="Q237:Q252">H237*L237</f>
        <v>43.5</v>
      </c>
      <c r="R237" s="41">
        <f aca="true" t="shared" si="118" ref="R237:R252">ROUND(H237*M237,2)</f>
        <v>2.9</v>
      </c>
      <c r="S237" s="188">
        <f aca="true" t="shared" si="119" ref="S237:S252">R237+Q237+P237</f>
        <v>89.9</v>
      </c>
      <c r="T237" s="170"/>
      <c r="U237" s="40">
        <f aca="true" t="shared" si="120" ref="U237:U252">T237*K237</f>
        <v>0</v>
      </c>
      <c r="V237" s="40">
        <f aca="true" t="shared" si="121" ref="V237:V252">T237*L237</f>
        <v>0</v>
      </c>
      <c r="W237" s="40">
        <f aca="true" t="shared" si="122" ref="W237:W252">T237*M237</f>
        <v>0</v>
      </c>
      <c r="X237" s="40">
        <f aca="true" t="shared" si="123" ref="X237:X252">U237+V237+W237</f>
        <v>0</v>
      </c>
      <c r="Y237" s="40"/>
      <c r="Z237" s="40">
        <f t="shared" si="100"/>
        <v>0</v>
      </c>
      <c r="AA237" s="40">
        <f aca="true" t="shared" si="124" ref="AA237:AA252">S237-X237-Z237</f>
        <v>89.9</v>
      </c>
      <c r="AB237" s="43"/>
      <c r="AC237" s="43"/>
      <c r="AD237" s="43"/>
      <c r="AE237" s="43"/>
      <c r="AF237" s="43"/>
      <c r="AG237" s="43"/>
      <c r="AH237" s="43"/>
      <c r="AI237" s="43"/>
    </row>
    <row r="238" spans="1:35" s="16" customFormat="1" ht="32.25" customHeight="1">
      <c r="A238" s="137" t="s">
        <v>139</v>
      </c>
      <c r="B238" s="32" t="s">
        <v>132</v>
      </c>
      <c r="C238" s="109" t="s">
        <v>4</v>
      </c>
      <c r="D238" s="230">
        <v>11.6</v>
      </c>
      <c r="E238" s="263" t="s">
        <v>139</v>
      </c>
      <c r="F238" s="32" t="s">
        <v>132</v>
      </c>
      <c r="G238" s="109" t="s">
        <v>4</v>
      </c>
      <c r="H238" s="230">
        <v>11.6</v>
      </c>
      <c r="I238" s="218">
        <f t="shared" si="113"/>
        <v>2.2727272727272725</v>
      </c>
      <c r="J238" s="41">
        <v>2.2</v>
      </c>
      <c r="K238" s="34">
        <v>5</v>
      </c>
      <c r="L238" s="34">
        <v>2.2</v>
      </c>
      <c r="M238" s="34">
        <v>0.2</v>
      </c>
      <c r="N238" s="74">
        <f t="shared" si="114"/>
        <v>7.4</v>
      </c>
      <c r="O238" s="187">
        <f t="shared" si="115"/>
        <v>26.36363636363636</v>
      </c>
      <c r="P238" s="41">
        <f t="shared" si="116"/>
        <v>58</v>
      </c>
      <c r="Q238" s="41">
        <f t="shared" si="117"/>
        <v>25.52</v>
      </c>
      <c r="R238" s="41">
        <f t="shared" si="118"/>
        <v>2.32</v>
      </c>
      <c r="S238" s="188">
        <f t="shared" si="119"/>
        <v>85.84</v>
      </c>
      <c r="T238" s="170"/>
      <c r="U238" s="40">
        <f t="shared" si="120"/>
        <v>0</v>
      </c>
      <c r="V238" s="40">
        <f t="shared" si="121"/>
        <v>0</v>
      </c>
      <c r="W238" s="40">
        <f t="shared" si="122"/>
        <v>0</v>
      </c>
      <c r="X238" s="40">
        <f t="shared" si="123"/>
        <v>0</v>
      </c>
      <c r="Y238" s="40"/>
      <c r="Z238" s="40">
        <f t="shared" si="100"/>
        <v>0</v>
      </c>
      <c r="AA238" s="40">
        <f t="shared" si="124"/>
        <v>85.84</v>
      </c>
      <c r="AB238" s="43"/>
      <c r="AC238" s="43"/>
      <c r="AD238" s="43"/>
      <c r="AE238" s="43"/>
      <c r="AF238" s="43"/>
      <c r="AG238" s="43"/>
      <c r="AH238" s="43"/>
      <c r="AI238" s="43"/>
    </row>
    <row r="239" spans="1:35" s="16" customFormat="1" ht="28.5" customHeight="1">
      <c r="A239" s="99" t="s">
        <v>140</v>
      </c>
      <c r="B239" s="32" t="s">
        <v>251</v>
      </c>
      <c r="C239" s="107" t="s">
        <v>4</v>
      </c>
      <c r="D239" s="229">
        <v>21</v>
      </c>
      <c r="E239" s="221" t="s">
        <v>140</v>
      </c>
      <c r="F239" s="32" t="s">
        <v>251</v>
      </c>
      <c r="G239" s="107" t="s">
        <v>4</v>
      </c>
      <c r="H239" s="229">
        <v>21</v>
      </c>
      <c r="I239" s="218">
        <f t="shared" si="113"/>
        <v>0.6818181818181818</v>
      </c>
      <c r="J239" s="41">
        <v>2.2</v>
      </c>
      <c r="K239" s="34">
        <v>1.5</v>
      </c>
      <c r="L239" s="34">
        <v>1</v>
      </c>
      <c r="M239" s="34">
        <v>0.2</v>
      </c>
      <c r="N239" s="74">
        <f t="shared" si="114"/>
        <v>2.7</v>
      </c>
      <c r="O239" s="187">
        <f t="shared" si="115"/>
        <v>14.318181818181817</v>
      </c>
      <c r="P239" s="41">
        <f t="shared" si="116"/>
        <v>31.5</v>
      </c>
      <c r="Q239" s="41">
        <f t="shared" si="117"/>
        <v>21</v>
      </c>
      <c r="R239" s="41">
        <f t="shared" si="118"/>
        <v>4.2</v>
      </c>
      <c r="S239" s="188">
        <f t="shared" si="119"/>
        <v>56.7</v>
      </c>
      <c r="T239" s="170"/>
      <c r="U239" s="40">
        <f t="shared" si="120"/>
        <v>0</v>
      </c>
      <c r="V239" s="40">
        <f t="shared" si="121"/>
        <v>0</v>
      </c>
      <c r="W239" s="40">
        <f t="shared" si="122"/>
        <v>0</v>
      </c>
      <c r="X239" s="40">
        <f t="shared" si="123"/>
        <v>0</v>
      </c>
      <c r="Y239" s="40"/>
      <c r="Z239" s="40">
        <f t="shared" si="100"/>
        <v>0</v>
      </c>
      <c r="AA239" s="40">
        <f t="shared" si="124"/>
        <v>56.7</v>
      </c>
      <c r="AB239" s="43"/>
      <c r="AC239" s="43"/>
      <c r="AD239" s="43"/>
      <c r="AE239" s="43"/>
      <c r="AF239" s="43"/>
      <c r="AG239" s="43"/>
      <c r="AH239" s="43"/>
      <c r="AI239" s="43"/>
    </row>
    <row r="240" spans="1:35" s="16" customFormat="1" ht="15" customHeight="1">
      <c r="A240" s="99" t="s">
        <v>109</v>
      </c>
      <c r="B240" s="37" t="s">
        <v>252</v>
      </c>
      <c r="C240" s="107" t="s">
        <v>4</v>
      </c>
      <c r="D240" s="229">
        <f>+D239</f>
        <v>21</v>
      </c>
      <c r="E240" s="221" t="s">
        <v>109</v>
      </c>
      <c r="F240" s="37" t="s">
        <v>252</v>
      </c>
      <c r="G240" s="107" t="s">
        <v>4</v>
      </c>
      <c r="H240" s="229">
        <f>+H239</f>
        <v>21</v>
      </c>
      <c r="I240" s="218">
        <f t="shared" si="113"/>
        <v>0.6818181818181818</v>
      </c>
      <c r="J240" s="41">
        <v>2.2</v>
      </c>
      <c r="K240" s="34">
        <v>1.5</v>
      </c>
      <c r="L240" s="34">
        <v>1</v>
      </c>
      <c r="M240" s="34">
        <v>0.2</v>
      </c>
      <c r="N240" s="74">
        <f t="shared" si="114"/>
        <v>2.7</v>
      </c>
      <c r="O240" s="187">
        <f t="shared" si="115"/>
        <v>14.318181818181817</v>
      </c>
      <c r="P240" s="41">
        <f t="shared" si="116"/>
        <v>31.5</v>
      </c>
      <c r="Q240" s="41">
        <f t="shared" si="117"/>
        <v>21</v>
      </c>
      <c r="R240" s="41">
        <f t="shared" si="118"/>
        <v>4.2</v>
      </c>
      <c r="S240" s="188">
        <f t="shared" si="119"/>
        <v>56.7</v>
      </c>
      <c r="T240" s="170"/>
      <c r="U240" s="40">
        <f t="shared" si="120"/>
        <v>0</v>
      </c>
      <c r="V240" s="40">
        <f t="shared" si="121"/>
        <v>0</v>
      </c>
      <c r="W240" s="40">
        <f t="shared" si="122"/>
        <v>0</v>
      </c>
      <c r="X240" s="40">
        <f t="shared" si="123"/>
        <v>0</v>
      </c>
      <c r="Y240" s="40"/>
      <c r="Z240" s="40">
        <f t="shared" si="100"/>
        <v>0</v>
      </c>
      <c r="AA240" s="40">
        <f t="shared" si="124"/>
        <v>56.7</v>
      </c>
      <c r="AB240" s="43"/>
      <c r="AC240" s="43"/>
      <c r="AD240" s="43"/>
      <c r="AE240" s="43"/>
      <c r="AF240" s="43"/>
      <c r="AG240" s="43"/>
      <c r="AH240" s="43"/>
      <c r="AI240" s="43"/>
    </row>
    <row r="241" spans="1:35" s="16" customFormat="1" ht="27" customHeight="1">
      <c r="A241" s="99" t="s">
        <v>141</v>
      </c>
      <c r="B241" s="32" t="s">
        <v>110</v>
      </c>
      <c r="C241" s="107" t="s">
        <v>3</v>
      </c>
      <c r="D241" s="229">
        <v>27</v>
      </c>
      <c r="E241" s="221" t="s">
        <v>141</v>
      </c>
      <c r="F241" s="32" t="s">
        <v>110</v>
      </c>
      <c r="G241" s="107" t="s">
        <v>3</v>
      </c>
      <c r="H241" s="229">
        <v>27</v>
      </c>
      <c r="I241" s="218">
        <f t="shared" si="113"/>
        <v>0.8181818181818181</v>
      </c>
      <c r="J241" s="41">
        <v>2.2</v>
      </c>
      <c r="K241" s="34">
        <v>1.8</v>
      </c>
      <c r="L241" s="34">
        <v>2.2</v>
      </c>
      <c r="M241" s="34">
        <v>0.15</v>
      </c>
      <c r="N241" s="74">
        <f t="shared" si="114"/>
        <v>4.15</v>
      </c>
      <c r="O241" s="187">
        <f t="shared" si="115"/>
        <v>22.09090909090909</v>
      </c>
      <c r="P241" s="41">
        <f t="shared" si="116"/>
        <v>48.6</v>
      </c>
      <c r="Q241" s="41">
        <f t="shared" si="117"/>
        <v>59.400000000000006</v>
      </c>
      <c r="R241" s="41">
        <f t="shared" si="118"/>
        <v>4.05</v>
      </c>
      <c r="S241" s="188">
        <f t="shared" si="119"/>
        <v>112.05000000000001</v>
      </c>
      <c r="T241" s="170"/>
      <c r="U241" s="40">
        <f t="shared" si="120"/>
        <v>0</v>
      </c>
      <c r="V241" s="40">
        <f t="shared" si="121"/>
        <v>0</v>
      </c>
      <c r="W241" s="40">
        <f t="shared" si="122"/>
        <v>0</v>
      </c>
      <c r="X241" s="40">
        <f t="shared" si="123"/>
        <v>0</v>
      </c>
      <c r="Y241" s="40"/>
      <c r="Z241" s="40">
        <f t="shared" si="100"/>
        <v>0</v>
      </c>
      <c r="AA241" s="40">
        <f t="shared" si="124"/>
        <v>112.05000000000001</v>
      </c>
      <c r="AB241" s="43"/>
      <c r="AC241" s="43"/>
      <c r="AD241" s="43"/>
      <c r="AE241" s="43"/>
      <c r="AF241" s="43"/>
      <c r="AG241" s="43"/>
      <c r="AH241" s="43"/>
      <c r="AI241" s="43"/>
    </row>
    <row r="242" spans="1:35" s="16" customFormat="1" ht="15" customHeight="1">
      <c r="A242" s="99" t="s">
        <v>142</v>
      </c>
      <c r="B242" s="97" t="s">
        <v>148</v>
      </c>
      <c r="C242" s="199" t="s">
        <v>3</v>
      </c>
      <c r="D242" s="243">
        <v>450</v>
      </c>
      <c r="E242" s="221" t="s">
        <v>142</v>
      </c>
      <c r="F242" s="97" t="s">
        <v>148</v>
      </c>
      <c r="G242" s="199" t="s">
        <v>3</v>
      </c>
      <c r="H242" s="243">
        <v>450</v>
      </c>
      <c r="I242" s="218">
        <f t="shared" si="113"/>
        <v>0.11363636363636363</v>
      </c>
      <c r="J242" s="41">
        <v>2.2</v>
      </c>
      <c r="K242" s="41">
        <v>0.25</v>
      </c>
      <c r="L242" s="41">
        <v>0</v>
      </c>
      <c r="M242" s="41">
        <v>0.25</v>
      </c>
      <c r="N242" s="74">
        <f t="shared" si="114"/>
        <v>0.5</v>
      </c>
      <c r="O242" s="187">
        <f t="shared" si="115"/>
        <v>51.13636363636363</v>
      </c>
      <c r="P242" s="41">
        <f t="shared" si="116"/>
        <v>112.5</v>
      </c>
      <c r="Q242" s="41">
        <f t="shared" si="117"/>
        <v>0</v>
      </c>
      <c r="R242" s="41">
        <f t="shared" si="118"/>
        <v>112.5</v>
      </c>
      <c r="S242" s="188">
        <f t="shared" si="119"/>
        <v>225</v>
      </c>
      <c r="T242" s="170">
        <v>0</v>
      </c>
      <c r="U242" s="40">
        <f t="shared" si="120"/>
        <v>0</v>
      </c>
      <c r="V242" s="40">
        <f t="shared" si="121"/>
        <v>0</v>
      </c>
      <c r="W242" s="40">
        <f t="shared" si="122"/>
        <v>0</v>
      </c>
      <c r="X242" s="40">
        <f t="shared" si="123"/>
        <v>0</v>
      </c>
      <c r="Y242" s="40"/>
      <c r="Z242" s="40">
        <f t="shared" si="100"/>
        <v>0</v>
      </c>
      <c r="AA242" s="40">
        <f t="shared" si="124"/>
        <v>225</v>
      </c>
      <c r="AB242" s="43"/>
      <c r="AC242" s="43"/>
      <c r="AD242" s="43"/>
      <c r="AE242" s="43"/>
      <c r="AF242" s="43"/>
      <c r="AG242" s="43"/>
      <c r="AH242" s="43"/>
      <c r="AI242" s="43"/>
    </row>
    <row r="243" spans="1:35" s="16" customFormat="1" ht="15" customHeight="1">
      <c r="A243" s="99" t="s">
        <v>143</v>
      </c>
      <c r="B243" s="97" t="s">
        <v>275</v>
      </c>
      <c r="C243" s="107" t="s">
        <v>8</v>
      </c>
      <c r="D243" s="229">
        <v>24</v>
      </c>
      <c r="E243" s="262" t="s">
        <v>396</v>
      </c>
      <c r="F243" s="97" t="s">
        <v>275</v>
      </c>
      <c r="G243" s="107" t="s">
        <v>8</v>
      </c>
      <c r="H243" s="372">
        <v>0</v>
      </c>
      <c r="I243" s="218">
        <f>K243/J243</f>
        <v>4.545454545454545</v>
      </c>
      <c r="J243" s="41">
        <v>2.2</v>
      </c>
      <c r="K243" s="41">
        <v>10</v>
      </c>
      <c r="L243" s="41">
        <v>0</v>
      </c>
      <c r="M243" s="41">
        <v>15</v>
      </c>
      <c r="N243" s="74">
        <f t="shared" si="114"/>
        <v>25</v>
      </c>
      <c r="O243" s="187">
        <f t="shared" si="115"/>
        <v>0</v>
      </c>
      <c r="P243" s="41">
        <f t="shared" si="116"/>
        <v>0</v>
      </c>
      <c r="Q243" s="41">
        <f t="shared" si="117"/>
        <v>0</v>
      </c>
      <c r="R243" s="41">
        <f t="shared" si="118"/>
        <v>0</v>
      </c>
      <c r="S243" s="188">
        <f t="shared" si="119"/>
        <v>0</v>
      </c>
      <c r="T243" s="170"/>
      <c r="U243" s="40">
        <f t="shared" si="120"/>
        <v>0</v>
      </c>
      <c r="V243" s="40">
        <f t="shared" si="121"/>
        <v>0</v>
      </c>
      <c r="W243" s="40">
        <f t="shared" si="122"/>
        <v>0</v>
      </c>
      <c r="X243" s="40">
        <f t="shared" si="123"/>
        <v>0</v>
      </c>
      <c r="Y243" s="40"/>
      <c r="Z243" s="40">
        <f t="shared" si="100"/>
        <v>0</v>
      </c>
      <c r="AA243" s="40">
        <f t="shared" si="124"/>
        <v>0</v>
      </c>
      <c r="AB243" s="43"/>
      <c r="AC243" s="43"/>
      <c r="AD243" s="43"/>
      <c r="AE243" s="43"/>
      <c r="AF243" s="43"/>
      <c r="AG243" s="43"/>
      <c r="AH243" s="43"/>
      <c r="AI243" s="43"/>
    </row>
    <row r="244" spans="1:35" s="16" customFormat="1" ht="25.5" customHeight="1">
      <c r="A244" s="99" t="s">
        <v>144</v>
      </c>
      <c r="B244" s="97" t="s">
        <v>276</v>
      </c>
      <c r="C244" s="107" t="s">
        <v>8</v>
      </c>
      <c r="D244" s="229">
        <f>+D243</f>
        <v>24</v>
      </c>
      <c r="E244" s="262" t="s">
        <v>397</v>
      </c>
      <c r="F244" s="97" t="s">
        <v>276</v>
      </c>
      <c r="G244" s="107" t="s">
        <v>8</v>
      </c>
      <c r="H244" s="372">
        <v>0</v>
      </c>
      <c r="I244" s="218">
        <f>K244/J244</f>
        <v>2.2727272727272725</v>
      </c>
      <c r="J244" s="41">
        <v>2.2</v>
      </c>
      <c r="K244" s="34">
        <v>5</v>
      </c>
      <c r="L244" s="34">
        <v>15</v>
      </c>
      <c r="M244" s="34">
        <v>2</v>
      </c>
      <c r="N244" s="74">
        <f t="shared" si="114"/>
        <v>22</v>
      </c>
      <c r="O244" s="187">
        <f t="shared" si="115"/>
        <v>0</v>
      </c>
      <c r="P244" s="41">
        <f t="shared" si="116"/>
        <v>0</v>
      </c>
      <c r="Q244" s="41">
        <f t="shared" si="117"/>
        <v>0</v>
      </c>
      <c r="R244" s="41">
        <f t="shared" si="118"/>
        <v>0</v>
      </c>
      <c r="S244" s="188">
        <f t="shared" si="119"/>
        <v>0</v>
      </c>
      <c r="T244" s="170"/>
      <c r="U244" s="40">
        <f t="shared" si="120"/>
        <v>0</v>
      </c>
      <c r="V244" s="40">
        <f t="shared" si="121"/>
        <v>0</v>
      </c>
      <c r="W244" s="40">
        <f t="shared" si="122"/>
        <v>0</v>
      </c>
      <c r="X244" s="40">
        <f t="shared" si="123"/>
        <v>0</v>
      </c>
      <c r="Y244" s="40"/>
      <c r="Z244" s="40">
        <f t="shared" si="100"/>
        <v>0</v>
      </c>
      <c r="AA244" s="40">
        <f t="shared" si="124"/>
        <v>0</v>
      </c>
      <c r="AB244" s="43"/>
      <c r="AC244" s="43"/>
      <c r="AD244" s="43"/>
      <c r="AE244" s="43"/>
      <c r="AF244" s="43"/>
      <c r="AG244" s="43"/>
      <c r="AH244" s="43"/>
      <c r="AI244" s="43"/>
    </row>
    <row r="245" spans="1:35" s="16" customFormat="1" ht="15" customHeight="1">
      <c r="A245" s="99" t="s">
        <v>145</v>
      </c>
      <c r="B245" s="37" t="s">
        <v>277</v>
      </c>
      <c r="C245" s="107" t="s">
        <v>8</v>
      </c>
      <c r="D245" s="229">
        <f>+D244</f>
        <v>24</v>
      </c>
      <c r="E245" s="262" t="s">
        <v>398</v>
      </c>
      <c r="F245" s="37" t="s">
        <v>277</v>
      </c>
      <c r="G245" s="107" t="s">
        <v>8</v>
      </c>
      <c r="H245" s="372">
        <v>0</v>
      </c>
      <c r="I245" s="218">
        <f>K245/J245</f>
        <v>0.6818181818181818</v>
      </c>
      <c r="J245" s="41">
        <v>2.2</v>
      </c>
      <c r="K245" s="34">
        <v>1.5</v>
      </c>
      <c r="L245" s="34">
        <v>3.5</v>
      </c>
      <c r="M245" s="34">
        <v>0.2</v>
      </c>
      <c r="N245" s="74">
        <f t="shared" si="114"/>
        <v>5.2</v>
      </c>
      <c r="O245" s="187">
        <f t="shared" si="115"/>
        <v>0</v>
      </c>
      <c r="P245" s="41">
        <f t="shared" si="116"/>
        <v>0</v>
      </c>
      <c r="Q245" s="41">
        <f t="shared" si="117"/>
        <v>0</v>
      </c>
      <c r="R245" s="41">
        <f t="shared" si="118"/>
        <v>0</v>
      </c>
      <c r="S245" s="188">
        <f t="shared" si="119"/>
        <v>0</v>
      </c>
      <c r="T245" s="170"/>
      <c r="U245" s="40">
        <f t="shared" si="120"/>
        <v>0</v>
      </c>
      <c r="V245" s="40">
        <f t="shared" si="121"/>
        <v>0</v>
      </c>
      <c r="W245" s="40">
        <f t="shared" si="122"/>
        <v>0</v>
      </c>
      <c r="X245" s="40">
        <f t="shared" si="123"/>
        <v>0</v>
      </c>
      <c r="Y245" s="40"/>
      <c r="Z245" s="40">
        <f t="shared" si="100"/>
        <v>0</v>
      </c>
      <c r="AA245" s="40">
        <f t="shared" si="124"/>
        <v>0</v>
      </c>
      <c r="AB245" s="43"/>
      <c r="AC245" s="43"/>
      <c r="AD245" s="43"/>
      <c r="AE245" s="43"/>
      <c r="AF245" s="43"/>
      <c r="AG245" s="43"/>
      <c r="AH245" s="43"/>
      <c r="AI245" s="43"/>
    </row>
    <row r="246" spans="1:35" s="16" customFormat="1" ht="15" customHeight="1">
      <c r="A246" s="291" t="s">
        <v>146</v>
      </c>
      <c r="B246" s="97" t="s">
        <v>253</v>
      </c>
      <c r="C246" s="107" t="s">
        <v>4</v>
      </c>
      <c r="D246" s="229">
        <f>9*3</f>
        <v>27</v>
      </c>
      <c r="E246" s="221" t="s">
        <v>146</v>
      </c>
      <c r="F246" s="97" t="s">
        <v>253</v>
      </c>
      <c r="G246" s="107" t="s">
        <v>4</v>
      </c>
      <c r="H246" s="229">
        <f>9*3</f>
        <v>27</v>
      </c>
      <c r="I246" s="218">
        <f aca="true" t="shared" si="125" ref="I246:I252">K246/J246</f>
        <v>2.2727272727272725</v>
      </c>
      <c r="J246" s="41">
        <v>2.2</v>
      </c>
      <c r="K246" s="34">
        <v>5</v>
      </c>
      <c r="L246" s="34">
        <v>4</v>
      </c>
      <c r="M246" s="34">
        <v>0.2</v>
      </c>
      <c r="N246" s="74">
        <f t="shared" si="114"/>
        <v>9.2</v>
      </c>
      <c r="O246" s="187">
        <f t="shared" si="115"/>
        <v>61.36363636363636</v>
      </c>
      <c r="P246" s="41">
        <f t="shared" si="116"/>
        <v>135</v>
      </c>
      <c r="Q246" s="41">
        <f t="shared" si="117"/>
        <v>108</v>
      </c>
      <c r="R246" s="41">
        <f t="shared" si="118"/>
        <v>5.4</v>
      </c>
      <c r="S246" s="188">
        <f t="shared" si="119"/>
        <v>248.4</v>
      </c>
      <c r="T246" s="170"/>
      <c r="U246" s="40">
        <f t="shared" si="120"/>
        <v>0</v>
      </c>
      <c r="V246" s="40">
        <f t="shared" si="121"/>
        <v>0</v>
      </c>
      <c r="W246" s="40">
        <f t="shared" si="122"/>
        <v>0</v>
      </c>
      <c r="X246" s="40">
        <f t="shared" si="123"/>
        <v>0</v>
      </c>
      <c r="Y246" s="40"/>
      <c r="Z246" s="40">
        <f t="shared" si="100"/>
        <v>0</v>
      </c>
      <c r="AA246" s="40">
        <f t="shared" si="124"/>
        <v>248.4</v>
      </c>
      <c r="AB246" s="43"/>
      <c r="AC246" s="43"/>
      <c r="AD246" s="43"/>
      <c r="AE246" s="43"/>
      <c r="AF246" s="43"/>
      <c r="AG246" s="43"/>
      <c r="AH246" s="43"/>
      <c r="AI246" s="43"/>
    </row>
    <row r="247" spans="1:35" s="16" customFormat="1" ht="30" customHeight="1">
      <c r="A247" s="291" t="s">
        <v>147</v>
      </c>
      <c r="B247" s="32" t="s">
        <v>254</v>
      </c>
      <c r="C247" s="109" t="s">
        <v>439</v>
      </c>
      <c r="D247" s="230">
        <v>5.76</v>
      </c>
      <c r="E247" s="221" t="s">
        <v>147</v>
      </c>
      <c r="F247" s="32" t="s">
        <v>254</v>
      </c>
      <c r="G247" s="109" t="s">
        <v>439</v>
      </c>
      <c r="H247" s="230">
        <v>5.76</v>
      </c>
      <c r="I247" s="218">
        <f t="shared" si="125"/>
        <v>2.954545454545454</v>
      </c>
      <c r="J247" s="41">
        <v>2.2</v>
      </c>
      <c r="K247" s="41">
        <v>6.5</v>
      </c>
      <c r="L247" s="41">
        <v>55</v>
      </c>
      <c r="M247" s="41">
        <v>2</v>
      </c>
      <c r="N247" s="74">
        <f t="shared" si="114"/>
        <v>63.5</v>
      </c>
      <c r="O247" s="187">
        <f t="shared" si="115"/>
        <v>17.018181818181816</v>
      </c>
      <c r="P247" s="41">
        <f t="shared" si="116"/>
        <v>37.44</v>
      </c>
      <c r="Q247" s="41">
        <f t="shared" si="117"/>
        <v>316.8</v>
      </c>
      <c r="R247" s="41">
        <f t="shared" si="118"/>
        <v>11.52</v>
      </c>
      <c r="S247" s="188">
        <f t="shared" si="119"/>
        <v>365.76</v>
      </c>
      <c r="T247" s="179">
        <v>5.47</v>
      </c>
      <c r="U247" s="40">
        <f t="shared" si="120"/>
        <v>35.555</v>
      </c>
      <c r="V247" s="40">
        <f t="shared" si="121"/>
        <v>300.84999999999997</v>
      </c>
      <c r="W247" s="40">
        <f t="shared" si="122"/>
        <v>10.94</v>
      </c>
      <c r="X247" s="40">
        <f t="shared" si="123"/>
        <v>347.34499999999997</v>
      </c>
      <c r="Y247" s="40"/>
      <c r="Z247" s="40">
        <f t="shared" si="100"/>
        <v>0</v>
      </c>
      <c r="AA247" s="40">
        <f t="shared" si="124"/>
        <v>18.41500000000002</v>
      </c>
      <c r="AB247" s="43"/>
      <c r="AC247" s="43"/>
      <c r="AD247" s="43"/>
      <c r="AE247" s="43"/>
      <c r="AF247" s="43"/>
      <c r="AG247" s="43"/>
      <c r="AH247" s="43"/>
      <c r="AI247" s="43"/>
    </row>
    <row r="248" spans="1:35" s="16" customFormat="1" ht="27.75" customHeight="1">
      <c r="A248" s="291" t="s">
        <v>291</v>
      </c>
      <c r="B248" s="32" t="s">
        <v>255</v>
      </c>
      <c r="C248" s="109" t="s">
        <v>4</v>
      </c>
      <c r="D248" s="230">
        <f>14.4*0.25</f>
        <v>3.6</v>
      </c>
      <c r="E248" s="221" t="s">
        <v>291</v>
      </c>
      <c r="F248" s="32" t="s">
        <v>255</v>
      </c>
      <c r="G248" s="109" t="s">
        <v>4</v>
      </c>
      <c r="H248" s="230">
        <f>14.4*0.25</f>
        <v>3.6</v>
      </c>
      <c r="I248" s="218">
        <f t="shared" si="125"/>
        <v>1.75</v>
      </c>
      <c r="J248" s="41">
        <v>2.2</v>
      </c>
      <c r="K248" s="34">
        <v>3.85</v>
      </c>
      <c r="L248" s="34">
        <v>2.5</v>
      </c>
      <c r="M248" s="34">
        <v>0.2</v>
      </c>
      <c r="N248" s="74">
        <f t="shared" si="114"/>
        <v>6.55</v>
      </c>
      <c r="O248" s="187">
        <f t="shared" si="115"/>
        <v>6.3</v>
      </c>
      <c r="P248" s="41">
        <f t="shared" si="116"/>
        <v>13.86</v>
      </c>
      <c r="Q248" s="41">
        <f t="shared" si="117"/>
        <v>9</v>
      </c>
      <c r="R248" s="41">
        <f t="shared" si="118"/>
        <v>0.72</v>
      </c>
      <c r="S248" s="188">
        <f t="shared" si="119"/>
        <v>23.58</v>
      </c>
      <c r="T248" s="179">
        <f>14.4*0.25</f>
        <v>3.6</v>
      </c>
      <c r="U248" s="40">
        <f t="shared" si="120"/>
        <v>13.860000000000001</v>
      </c>
      <c r="V248" s="40">
        <f t="shared" si="121"/>
        <v>9</v>
      </c>
      <c r="W248" s="40">
        <f t="shared" si="122"/>
        <v>0.7200000000000001</v>
      </c>
      <c r="X248" s="40">
        <f t="shared" si="123"/>
        <v>23.58</v>
      </c>
      <c r="Y248" s="40"/>
      <c r="Z248" s="40">
        <f t="shared" si="100"/>
        <v>0</v>
      </c>
      <c r="AA248" s="40">
        <f t="shared" si="124"/>
        <v>0</v>
      </c>
      <c r="AB248" s="43"/>
      <c r="AC248" s="43"/>
      <c r="AD248" s="43"/>
      <c r="AE248" s="43"/>
      <c r="AF248" s="43"/>
      <c r="AG248" s="43"/>
      <c r="AH248" s="43"/>
      <c r="AI248" s="43"/>
    </row>
    <row r="249" spans="1:35" s="16" customFormat="1" ht="27.75" customHeight="1">
      <c r="A249" s="291" t="s">
        <v>292</v>
      </c>
      <c r="B249" s="94" t="s">
        <v>256</v>
      </c>
      <c r="C249" s="212" t="s">
        <v>4</v>
      </c>
      <c r="D249" s="244">
        <v>12</v>
      </c>
      <c r="E249" s="221" t="s">
        <v>292</v>
      </c>
      <c r="F249" s="94" t="s">
        <v>256</v>
      </c>
      <c r="G249" s="212" t="s">
        <v>4</v>
      </c>
      <c r="H249" s="244">
        <v>12</v>
      </c>
      <c r="I249" s="218">
        <f t="shared" si="125"/>
        <v>1.75</v>
      </c>
      <c r="J249" s="41">
        <v>2.2</v>
      </c>
      <c r="K249" s="34">
        <v>3.85</v>
      </c>
      <c r="L249" s="34">
        <v>2.5</v>
      </c>
      <c r="M249" s="34">
        <v>0.2</v>
      </c>
      <c r="N249" s="74">
        <f t="shared" si="114"/>
        <v>6.55</v>
      </c>
      <c r="O249" s="187">
        <f t="shared" si="115"/>
        <v>21</v>
      </c>
      <c r="P249" s="41">
        <f t="shared" si="116"/>
        <v>46.2</v>
      </c>
      <c r="Q249" s="41">
        <f t="shared" si="117"/>
        <v>30</v>
      </c>
      <c r="R249" s="41">
        <f t="shared" si="118"/>
        <v>2.4</v>
      </c>
      <c r="S249" s="188">
        <f t="shared" si="119"/>
        <v>78.6</v>
      </c>
      <c r="T249" s="170">
        <v>6</v>
      </c>
      <c r="U249" s="40">
        <f t="shared" si="120"/>
        <v>23.1</v>
      </c>
      <c r="V249" s="40">
        <f t="shared" si="121"/>
        <v>15</v>
      </c>
      <c r="W249" s="40">
        <f t="shared" si="122"/>
        <v>1.2000000000000002</v>
      </c>
      <c r="X249" s="40">
        <f t="shared" si="123"/>
        <v>39.300000000000004</v>
      </c>
      <c r="Y249" s="40"/>
      <c r="Z249" s="40">
        <f t="shared" si="100"/>
        <v>0</v>
      </c>
      <c r="AA249" s="40">
        <f t="shared" si="124"/>
        <v>39.29999999999999</v>
      </c>
      <c r="AB249" s="43"/>
      <c r="AC249" s="43"/>
      <c r="AD249" s="43"/>
      <c r="AE249" s="43"/>
      <c r="AF249" s="43"/>
      <c r="AG249" s="43"/>
      <c r="AH249" s="43"/>
      <c r="AI249" s="43"/>
    </row>
    <row r="250" spans="1:35" s="16" customFormat="1" ht="15" customHeight="1">
      <c r="A250" s="291" t="s">
        <v>293</v>
      </c>
      <c r="B250" s="37" t="s">
        <v>111</v>
      </c>
      <c r="C250" s="199" t="s">
        <v>10</v>
      </c>
      <c r="D250" s="229">
        <v>1</v>
      </c>
      <c r="E250" s="221" t="s">
        <v>293</v>
      </c>
      <c r="F250" s="37" t="s">
        <v>111</v>
      </c>
      <c r="G250" s="199" t="s">
        <v>10</v>
      </c>
      <c r="H250" s="229">
        <v>1</v>
      </c>
      <c r="I250" s="218">
        <f t="shared" si="125"/>
        <v>2.727272727272727</v>
      </c>
      <c r="J250" s="41">
        <v>2.2</v>
      </c>
      <c r="K250" s="34">
        <v>6</v>
      </c>
      <c r="L250" s="41">
        <v>25</v>
      </c>
      <c r="M250" s="41">
        <v>5</v>
      </c>
      <c r="N250" s="74">
        <f t="shared" si="114"/>
        <v>36</v>
      </c>
      <c r="O250" s="187">
        <f t="shared" si="115"/>
        <v>2.727272727272727</v>
      </c>
      <c r="P250" s="41">
        <f t="shared" si="116"/>
        <v>6</v>
      </c>
      <c r="Q250" s="41">
        <f t="shared" si="117"/>
        <v>25</v>
      </c>
      <c r="R250" s="41">
        <f t="shared" si="118"/>
        <v>5</v>
      </c>
      <c r="S250" s="188">
        <f t="shared" si="119"/>
        <v>36</v>
      </c>
      <c r="T250" s="170"/>
      <c r="U250" s="40">
        <f t="shared" si="120"/>
        <v>0</v>
      </c>
      <c r="V250" s="40">
        <f t="shared" si="121"/>
        <v>0</v>
      </c>
      <c r="W250" s="40">
        <f t="shared" si="122"/>
        <v>0</v>
      </c>
      <c r="X250" s="40">
        <f t="shared" si="123"/>
        <v>0</v>
      </c>
      <c r="Y250" s="40"/>
      <c r="Z250" s="40">
        <f t="shared" si="100"/>
        <v>0</v>
      </c>
      <c r="AA250" s="40">
        <f t="shared" si="124"/>
        <v>36</v>
      </c>
      <c r="AB250" s="43"/>
      <c r="AC250" s="43"/>
      <c r="AD250" s="43"/>
      <c r="AE250" s="43"/>
      <c r="AF250" s="43"/>
      <c r="AG250" s="43"/>
      <c r="AH250" s="43"/>
      <c r="AI250" s="43"/>
    </row>
    <row r="251" spans="1:35" s="16" customFormat="1" ht="15" customHeight="1">
      <c r="A251" s="291" t="s">
        <v>294</v>
      </c>
      <c r="B251" s="97" t="s">
        <v>133</v>
      </c>
      <c r="C251" s="107" t="s">
        <v>8</v>
      </c>
      <c r="D251" s="229">
        <v>1</v>
      </c>
      <c r="E251" s="221" t="s">
        <v>294</v>
      </c>
      <c r="F251" s="97" t="s">
        <v>133</v>
      </c>
      <c r="G251" s="107" t="s">
        <v>8</v>
      </c>
      <c r="H251" s="229">
        <v>1</v>
      </c>
      <c r="I251" s="218">
        <f t="shared" si="125"/>
        <v>2.2727272727272725</v>
      </c>
      <c r="J251" s="41">
        <v>2.2</v>
      </c>
      <c r="K251" s="34">
        <v>5</v>
      </c>
      <c r="L251" s="41">
        <v>10</v>
      </c>
      <c r="M251" s="41">
        <v>1</v>
      </c>
      <c r="N251" s="74">
        <f t="shared" si="114"/>
        <v>16</v>
      </c>
      <c r="O251" s="187">
        <f t="shared" si="115"/>
        <v>2.2727272727272725</v>
      </c>
      <c r="P251" s="41">
        <f t="shared" si="116"/>
        <v>5</v>
      </c>
      <c r="Q251" s="41">
        <f t="shared" si="117"/>
        <v>10</v>
      </c>
      <c r="R251" s="41">
        <f t="shared" si="118"/>
        <v>1</v>
      </c>
      <c r="S251" s="188">
        <f t="shared" si="119"/>
        <v>16</v>
      </c>
      <c r="T251" s="170"/>
      <c r="U251" s="40">
        <f t="shared" si="120"/>
        <v>0</v>
      </c>
      <c r="V251" s="40">
        <f t="shared" si="121"/>
        <v>0</v>
      </c>
      <c r="W251" s="40">
        <f t="shared" si="122"/>
        <v>0</v>
      </c>
      <c r="X251" s="40">
        <f t="shared" si="123"/>
        <v>0</v>
      </c>
      <c r="Y251" s="40"/>
      <c r="Z251" s="40">
        <f t="shared" si="100"/>
        <v>0</v>
      </c>
      <c r="AA251" s="40">
        <f t="shared" si="124"/>
        <v>16</v>
      </c>
      <c r="AB251" s="43"/>
      <c r="AC251" s="43"/>
      <c r="AD251" s="43"/>
      <c r="AE251" s="43"/>
      <c r="AF251" s="43"/>
      <c r="AG251" s="43"/>
      <c r="AH251" s="43"/>
      <c r="AI251" s="43"/>
    </row>
    <row r="252" spans="1:35" s="16" customFormat="1" ht="32.25" customHeight="1" thickBot="1">
      <c r="A252" s="402" t="s">
        <v>295</v>
      </c>
      <c r="B252" s="130" t="s">
        <v>134</v>
      </c>
      <c r="C252" s="200" t="s">
        <v>8</v>
      </c>
      <c r="D252" s="232">
        <f>+D26</f>
        <v>6</v>
      </c>
      <c r="E252" s="266" t="s">
        <v>295</v>
      </c>
      <c r="F252" s="130" t="s">
        <v>134</v>
      </c>
      <c r="G252" s="200" t="s">
        <v>8</v>
      </c>
      <c r="H252" s="232">
        <f>+H26</f>
        <v>6</v>
      </c>
      <c r="I252" s="223">
        <f t="shared" si="125"/>
        <v>2.2727272727272725</v>
      </c>
      <c r="J252" s="50">
        <v>2.2</v>
      </c>
      <c r="K252" s="84">
        <v>5</v>
      </c>
      <c r="L252" s="84">
        <v>8.5</v>
      </c>
      <c r="M252" s="84">
        <v>1</v>
      </c>
      <c r="N252" s="132">
        <f t="shared" si="114"/>
        <v>14.5</v>
      </c>
      <c r="O252" s="189">
        <f t="shared" si="115"/>
        <v>13.636363636363635</v>
      </c>
      <c r="P252" s="50">
        <f t="shared" si="116"/>
        <v>30</v>
      </c>
      <c r="Q252" s="50">
        <f t="shared" si="117"/>
        <v>51</v>
      </c>
      <c r="R252" s="50">
        <f t="shared" si="118"/>
        <v>6</v>
      </c>
      <c r="S252" s="190">
        <f t="shared" si="119"/>
        <v>87</v>
      </c>
      <c r="T252" s="171"/>
      <c r="U252" s="83">
        <f t="shared" si="120"/>
        <v>0</v>
      </c>
      <c r="V252" s="83">
        <f t="shared" si="121"/>
        <v>0</v>
      </c>
      <c r="W252" s="83">
        <f t="shared" si="122"/>
        <v>0</v>
      </c>
      <c r="X252" s="83">
        <f t="shared" si="123"/>
        <v>0</v>
      </c>
      <c r="Y252" s="83"/>
      <c r="Z252" s="83">
        <f t="shared" si="100"/>
        <v>0</v>
      </c>
      <c r="AA252" s="83">
        <f t="shared" si="124"/>
        <v>87</v>
      </c>
      <c r="AB252" s="43"/>
      <c r="AC252" s="43"/>
      <c r="AD252" s="43"/>
      <c r="AE252" s="43"/>
      <c r="AF252" s="43"/>
      <c r="AG252" s="43"/>
      <c r="AH252" s="43"/>
      <c r="AI252" s="43"/>
    </row>
    <row r="253" spans="1:39" s="16" customFormat="1" ht="14.25" customHeight="1" thickBot="1">
      <c r="A253" s="184"/>
      <c r="B253" s="284" t="s">
        <v>336</v>
      </c>
      <c r="C253" s="247"/>
      <c r="D253" s="272"/>
      <c r="E253" s="279"/>
      <c r="F253" s="280"/>
      <c r="G253" s="280"/>
      <c r="H253" s="272"/>
      <c r="I253" s="271"/>
      <c r="J253" s="59"/>
      <c r="K253" s="59"/>
      <c r="L253" s="59"/>
      <c r="M253" s="59"/>
      <c r="N253" s="247"/>
      <c r="O253" s="196">
        <f>SUM(O237:O252)</f>
        <v>272.31818181818176</v>
      </c>
      <c r="P253" s="152">
        <f>SUM(P237:P252)</f>
        <v>599.1</v>
      </c>
      <c r="Q253" s="152">
        <f>SUM(Q237:Q252)</f>
        <v>720.22</v>
      </c>
      <c r="R253" s="152">
        <f>SUM(R237:R252)</f>
        <v>162.21000000000004</v>
      </c>
      <c r="S253" s="273">
        <f>SUM(S237:S252)</f>
        <v>1481.5299999999997</v>
      </c>
      <c r="T253" s="177"/>
      <c r="U253" s="86">
        <f>SUM(U237:U252)</f>
        <v>72.515</v>
      </c>
      <c r="V253" s="86">
        <f>SUM(V237:V252)</f>
        <v>324.84999999999997</v>
      </c>
      <c r="W253" s="86">
        <f>SUM(W237:W252)</f>
        <v>12.86</v>
      </c>
      <c r="X253" s="86">
        <f>SUM(X237:X252)</f>
        <v>410.22499999999997</v>
      </c>
      <c r="Y253" s="86"/>
      <c r="Z253" s="86">
        <f>SUM(Z237:Z252)</f>
        <v>0</v>
      </c>
      <c r="AA253" s="86">
        <f>SUM(AA237:AA252)</f>
        <v>1071.305</v>
      </c>
      <c r="AB253" s="43"/>
      <c r="AC253" s="43"/>
      <c r="AD253" s="43"/>
      <c r="AE253" s="43"/>
      <c r="AF253" s="43"/>
      <c r="AG253" s="43"/>
      <c r="AH253" s="43"/>
      <c r="AI253" s="43"/>
      <c r="AL253" s="16">
        <v>2734.33</v>
      </c>
      <c r="AM253" s="19">
        <f>S253-AL253</f>
        <v>-1252.8000000000002</v>
      </c>
    </row>
    <row r="254" spans="1:35" s="16" customFormat="1" ht="69.75" customHeight="1">
      <c r="A254" s="127" t="s">
        <v>76</v>
      </c>
      <c r="B254" s="283" t="s">
        <v>307</v>
      </c>
      <c r="C254" s="201" t="s">
        <v>113</v>
      </c>
      <c r="D254" s="234">
        <v>1</v>
      </c>
      <c r="E254" s="261" t="s">
        <v>76</v>
      </c>
      <c r="F254" s="283" t="s">
        <v>307</v>
      </c>
      <c r="G254" s="201" t="s">
        <v>113</v>
      </c>
      <c r="H254" s="234">
        <v>1</v>
      </c>
      <c r="I254" s="85"/>
      <c r="J254" s="68"/>
      <c r="K254" s="68"/>
      <c r="L254" s="68"/>
      <c r="M254" s="68"/>
      <c r="N254" s="156"/>
      <c r="O254" s="134"/>
      <c r="P254" s="68"/>
      <c r="Q254" s="68"/>
      <c r="R254" s="68"/>
      <c r="S254" s="186"/>
      <c r="T254" s="170"/>
      <c r="U254" s="40"/>
      <c r="V254" s="40"/>
      <c r="W254" s="40"/>
      <c r="X254" s="40"/>
      <c r="Y254" s="40"/>
      <c r="Z254" s="40"/>
      <c r="AA254" s="40"/>
      <c r="AB254" s="43"/>
      <c r="AC254" s="43"/>
      <c r="AD254" s="43"/>
      <c r="AE254" s="43"/>
      <c r="AF254" s="43"/>
      <c r="AG254" s="43"/>
      <c r="AH254" s="43"/>
      <c r="AI254" s="43"/>
    </row>
    <row r="255" spans="1:35" s="16" customFormat="1" ht="30.75" customHeight="1">
      <c r="A255" s="127"/>
      <c r="B255" s="283"/>
      <c r="C255" s="201"/>
      <c r="D255" s="234"/>
      <c r="E255" s="261" t="s">
        <v>461</v>
      </c>
      <c r="F255" s="411" t="s">
        <v>460</v>
      </c>
      <c r="G255" s="214" t="s">
        <v>363</v>
      </c>
      <c r="H255" s="412">
        <v>1</v>
      </c>
      <c r="I255" s="222">
        <v>156.82</v>
      </c>
      <c r="J255" s="116">
        <v>2.2</v>
      </c>
      <c r="K255" s="116">
        <v>345</v>
      </c>
      <c r="L255" s="116">
        <v>700</v>
      </c>
      <c r="M255" s="116">
        <v>150</v>
      </c>
      <c r="N255" s="165">
        <f>K255+L255+M255</f>
        <v>1195</v>
      </c>
      <c r="O255" s="198">
        <f>H255*I255</f>
        <v>156.82</v>
      </c>
      <c r="P255" s="117">
        <f>ROUND(H255*K255,2)</f>
        <v>345</v>
      </c>
      <c r="Q255" s="117">
        <f>H255*L255</f>
        <v>700</v>
      </c>
      <c r="R255" s="117">
        <f>ROUND(H255*M255,2)</f>
        <v>150</v>
      </c>
      <c r="S255" s="194">
        <f>R255+Q255+P255</f>
        <v>1195</v>
      </c>
      <c r="T255" s="170"/>
      <c r="U255" s="40"/>
      <c r="V255" s="40"/>
      <c r="W255" s="40"/>
      <c r="X255" s="40"/>
      <c r="Y255" s="40"/>
      <c r="Z255" s="40"/>
      <c r="AA255" s="40"/>
      <c r="AB255" s="43"/>
      <c r="AC255" s="43"/>
      <c r="AD255" s="43"/>
      <c r="AE255" s="43"/>
      <c r="AF255" s="43"/>
      <c r="AG255" s="43"/>
      <c r="AH255" s="43"/>
      <c r="AI255" s="43"/>
    </row>
    <row r="256" spans="1:35" s="16" customFormat="1" ht="20.25" customHeight="1">
      <c r="A256" s="70" t="s">
        <v>308</v>
      </c>
      <c r="B256" s="97" t="s">
        <v>309</v>
      </c>
      <c r="C256" s="199" t="s">
        <v>113</v>
      </c>
      <c r="D256" s="229">
        <v>1</v>
      </c>
      <c r="E256" s="70" t="s">
        <v>308</v>
      </c>
      <c r="F256" s="97" t="s">
        <v>309</v>
      </c>
      <c r="G256" s="199" t="s">
        <v>113</v>
      </c>
      <c r="H256" s="229">
        <v>1</v>
      </c>
      <c r="I256" s="220"/>
      <c r="J256" s="78"/>
      <c r="K256" s="78"/>
      <c r="L256" s="78"/>
      <c r="M256" s="78"/>
      <c r="N256" s="107"/>
      <c r="O256" s="73"/>
      <c r="P256" s="78"/>
      <c r="Q256" s="78"/>
      <c r="R256" s="78"/>
      <c r="S256" s="193"/>
      <c r="T256" s="170"/>
      <c r="U256" s="40"/>
      <c r="V256" s="40"/>
      <c r="W256" s="40"/>
      <c r="X256" s="40"/>
      <c r="Y256" s="40"/>
      <c r="Z256" s="40"/>
      <c r="AA256" s="40"/>
      <c r="AB256" s="43"/>
      <c r="AC256" s="43"/>
      <c r="AD256" s="43"/>
      <c r="AE256" s="43"/>
      <c r="AF256" s="43"/>
      <c r="AG256" s="43"/>
      <c r="AH256" s="43"/>
      <c r="AI256" s="43"/>
    </row>
    <row r="257" spans="1:35" s="16" customFormat="1" ht="15" customHeight="1">
      <c r="A257" s="70" t="s">
        <v>310</v>
      </c>
      <c r="B257" s="148" t="s">
        <v>257</v>
      </c>
      <c r="C257" s="107"/>
      <c r="D257" s="229"/>
      <c r="E257" s="251" t="s">
        <v>310</v>
      </c>
      <c r="F257" s="148" t="s">
        <v>257</v>
      </c>
      <c r="G257" s="107"/>
      <c r="H257" s="229"/>
      <c r="I257" s="220"/>
      <c r="J257" s="78"/>
      <c r="K257" s="78"/>
      <c r="L257" s="78"/>
      <c r="M257" s="78"/>
      <c r="N257" s="107"/>
      <c r="O257" s="73"/>
      <c r="P257" s="78"/>
      <c r="Q257" s="78"/>
      <c r="R257" s="78"/>
      <c r="S257" s="193"/>
      <c r="T257" s="170"/>
      <c r="U257" s="40"/>
      <c r="V257" s="40"/>
      <c r="W257" s="40"/>
      <c r="X257" s="40"/>
      <c r="Y257" s="40"/>
      <c r="Z257" s="40"/>
      <c r="AA257" s="40"/>
      <c r="AB257" s="43"/>
      <c r="AC257" s="43"/>
      <c r="AD257" s="43"/>
      <c r="AE257" s="43"/>
      <c r="AF257" s="43"/>
      <c r="AG257" s="43"/>
      <c r="AH257" s="43"/>
      <c r="AI257" s="43"/>
    </row>
    <row r="258" spans="1:35" s="16" customFormat="1" ht="15" customHeight="1">
      <c r="A258" s="70" t="s">
        <v>311</v>
      </c>
      <c r="B258" s="148" t="s">
        <v>258</v>
      </c>
      <c r="C258" s="107" t="s">
        <v>3</v>
      </c>
      <c r="D258" s="229">
        <v>230</v>
      </c>
      <c r="E258" s="251" t="s">
        <v>311</v>
      </c>
      <c r="F258" s="148" t="s">
        <v>258</v>
      </c>
      <c r="G258" s="107" t="s">
        <v>3</v>
      </c>
      <c r="H258" s="229">
        <v>230</v>
      </c>
      <c r="I258" s="218">
        <f>K258/J258</f>
        <v>0.2954545454545454</v>
      </c>
      <c r="J258" s="41">
        <v>2.2</v>
      </c>
      <c r="K258" s="34">
        <v>0.65</v>
      </c>
      <c r="L258" s="34"/>
      <c r="M258" s="34">
        <v>1</v>
      </c>
      <c r="N258" s="74">
        <f aca="true" t="shared" si="126" ref="N258:N264">K258+L258+M258</f>
        <v>1.65</v>
      </c>
      <c r="O258" s="187">
        <f aca="true" t="shared" si="127" ref="O258:O264">H258*I258</f>
        <v>67.95454545454544</v>
      </c>
      <c r="P258" s="41">
        <f aca="true" t="shared" si="128" ref="P258:P264">ROUND(H258*K258,2)</f>
        <v>149.5</v>
      </c>
      <c r="Q258" s="41">
        <f aca="true" t="shared" si="129" ref="Q258:Q264">H258*L258</f>
        <v>0</v>
      </c>
      <c r="R258" s="41">
        <f aca="true" t="shared" si="130" ref="R258:R264">ROUND(H258*M258,2)</f>
        <v>230</v>
      </c>
      <c r="S258" s="188">
        <f aca="true" t="shared" si="131" ref="S258:S264">R258+Q258+P258</f>
        <v>379.5</v>
      </c>
      <c r="T258" s="170">
        <v>40</v>
      </c>
      <c r="U258" s="40">
        <f aca="true" t="shared" si="132" ref="U258:U264">T258*K258</f>
        <v>26</v>
      </c>
      <c r="V258" s="40">
        <f aca="true" t="shared" si="133" ref="V258:V264">T258*L258</f>
        <v>0</v>
      </c>
      <c r="W258" s="40">
        <f aca="true" t="shared" si="134" ref="W258:W264">T258*M258</f>
        <v>40</v>
      </c>
      <c r="X258" s="40">
        <f aca="true" t="shared" si="135" ref="X258:X264">U258+V258+W258</f>
        <v>66</v>
      </c>
      <c r="Y258" s="40">
        <v>160</v>
      </c>
      <c r="Z258" s="40">
        <f t="shared" si="100"/>
        <v>264</v>
      </c>
      <c r="AA258" s="40">
        <f aca="true" t="shared" si="136" ref="AA258:AA264">S258-X258-Z258</f>
        <v>49.5</v>
      </c>
      <c r="AB258" s="43"/>
      <c r="AC258" s="43"/>
      <c r="AD258" s="43"/>
      <c r="AE258" s="43"/>
      <c r="AF258" s="43"/>
      <c r="AG258" s="43"/>
      <c r="AH258" s="43"/>
      <c r="AI258" s="43"/>
    </row>
    <row r="259" spans="1:35" s="16" customFormat="1" ht="15" customHeight="1">
      <c r="A259" s="70" t="s">
        <v>312</v>
      </c>
      <c r="B259" s="97" t="s">
        <v>259</v>
      </c>
      <c r="C259" s="199" t="s">
        <v>8</v>
      </c>
      <c r="D259" s="229">
        <v>1</v>
      </c>
      <c r="E259" s="251" t="s">
        <v>312</v>
      </c>
      <c r="F259" s="97" t="s">
        <v>259</v>
      </c>
      <c r="G259" s="199" t="s">
        <v>8</v>
      </c>
      <c r="H259" s="229">
        <v>1</v>
      </c>
      <c r="I259" s="218">
        <f>K259/J259</f>
        <v>6.8181818181818175</v>
      </c>
      <c r="J259" s="41">
        <v>2.2</v>
      </c>
      <c r="K259" s="34">
        <v>15</v>
      </c>
      <c r="L259" s="34">
        <v>20</v>
      </c>
      <c r="M259" s="34">
        <v>3</v>
      </c>
      <c r="N259" s="74">
        <f t="shared" si="126"/>
        <v>38</v>
      </c>
      <c r="O259" s="187">
        <f t="shared" si="127"/>
        <v>6.8181818181818175</v>
      </c>
      <c r="P259" s="41">
        <f t="shared" si="128"/>
        <v>15</v>
      </c>
      <c r="Q259" s="41">
        <f t="shared" si="129"/>
        <v>20</v>
      </c>
      <c r="R259" s="41">
        <f t="shared" si="130"/>
        <v>3</v>
      </c>
      <c r="S259" s="188">
        <f t="shared" si="131"/>
        <v>38</v>
      </c>
      <c r="T259" s="170">
        <v>0</v>
      </c>
      <c r="U259" s="40">
        <f t="shared" si="132"/>
        <v>0</v>
      </c>
      <c r="V259" s="40">
        <f t="shared" si="133"/>
        <v>0</v>
      </c>
      <c r="W259" s="40">
        <f t="shared" si="134"/>
        <v>0</v>
      </c>
      <c r="X259" s="40">
        <f t="shared" si="135"/>
        <v>0</v>
      </c>
      <c r="Y259" s="40">
        <v>1</v>
      </c>
      <c r="Z259" s="40">
        <f t="shared" si="100"/>
        <v>38</v>
      </c>
      <c r="AA259" s="40">
        <f t="shared" si="136"/>
        <v>0</v>
      </c>
      <c r="AB259" s="43"/>
      <c r="AC259" s="43"/>
      <c r="AD259" s="43"/>
      <c r="AE259" s="43"/>
      <c r="AF259" s="43"/>
      <c r="AG259" s="43"/>
      <c r="AH259" s="43"/>
      <c r="AI259" s="43"/>
    </row>
    <row r="260" spans="1:35" s="16" customFormat="1" ht="15" customHeight="1">
      <c r="A260" s="70" t="s">
        <v>313</v>
      </c>
      <c r="B260" s="97" t="s">
        <v>82</v>
      </c>
      <c r="C260" s="199" t="s">
        <v>10</v>
      </c>
      <c r="D260" s="229">
        <v>1</v>
      </c>
      <c r="E260" s="251" t="s">
        <v>313</v>
      </c>
      <c r="F260" s="97" t="s">
        <v>82</v>
      </c>
      <c r="G260" s="199" t="s">
        <v>10</v>
      </c>
      <c r="H260" s="229">
        <v>1</v>
      </c>
      <c r="I260" s="218">
        <f>K260/J260</f>
        <v>1.5909090909090908</v>
      </c>
      <c r="J260" s="41">
        <v>2.2</v>
      </c>
      <c r="K260" s="34">
        <v>3.5</v>
      </c>
      <c r="L260" s="34">
        <v>100</v>
      </c>
      <c r="M260" s="34">
        <v>1</v>
      </c>
      <c r="N260" s="74">
        <f t="shared" si="126"/>
        <v>104.5</v>
      </c>
      <c r="O260" s="187">
        <f t="shared" si="127"/>
        <v>1.5909090909090908</v>
      </c>
      <c r="P260" s="41">
        <f t="shared" si="128"/>
        <v>3.5</v>
      </c>
      <c r="Q260" s="41">
        <f t="shared" si="129"/>
        <v>100</v>
      </c>
      <c r="R260" s="41">
        <f t="shared" si="130"/>
        <v>1</v>
      </c>
      <c r="S260" s="188">
        <f t="shared" si="131"/>
        <v>104.5</v>
      </c>
      <c r="T260" s="170">
        <v>0</v>
      </c>
      <c r="U260" s="40">
        <f t="shared" si="132"/>
        <v>0</v>
      </c>
      <c r="V260" s="40">
        <f t="shared" si="133"/>
        <v>0</v>
      </c>
      <c r="W260" s="40">
        <f t="shared" si="134"/>
        <v>0</v>
      </c>
      <c r="X260" s="40">
        <f t="shared" si="135"/>
        <v>0</v>
      </c>
      <c r="Y260" s="40">
        <v>1</v>
      </c>
      <c r="Z260" s="40">
        <f t="shared" si="100"/>
        <v>104.5</v>
      </c>
      <c r="AA260" s="40">
        <f t="shared" si="136"/>
        <v>0</v>
      </c>
      <c r="AB260" s="43"/>
      <c r="AC260" s="43"/>
      <c r="AD260" s="43"/>
      <c r="AE260" s="43"/>
      <c r="AF260" s="43"/>
      <c r="AG260" s="43"/>
      <c r="AH260" s="43"/>
      <c r="AI260" s="43"/>
    </row>
    <row r="261" spans="1:35" s="16" customFormat="1" ht="15" customHeight="1">
      <c r="A261" s="70" t="s">
        <v>314</v>
      </c>
      <c r="B261" s="148" t="s">
        <v>274</v>
      </c>
      <c r="C261" s="107" t="s">
        <v>8</v>
      </c>
      <c r="D261" s="229">
        <v>3</v>
      </c>
      <c r="E261" s="251" t="s">
        <v>314</v>
      </c>
      <c r="F261" s="148" t="s">
        <v>274</v>
      </c>
      <c r="G261" s="107" t="s">
        <v>8</v>
      </c>
      <c r="H261" s="229">
        <v>3</v>
      </c>
      <c r="I261" s="218">
        <f>K261/J261</f>
        <v>4.545454545454545</v>
      </c>
      <c r="J261" s="41">
        <v>2.2</v>
      </c>
      <c r="K261" s="34">
        <v>10</v>
      </c>
      <c r="L261" s="34"/>
      <c r="M261" s="34">
        <f>90*3</f>
        <v>270</v>
      </c>
      <c r="N261" s="74">
        <f t="shared" si="126"/>
        <v>280</v>
      </c>
      <c r="O261" s="187">
        <f t="shared" si="127"/>
        <v>13.636363636363635</v>
      </c>
      <c r="P261" s="41">
        <f t="shared" si="128"/>
        <v>30</v>
      </c>
      <c r="Q261" s="41">
        <f t="shared" si="129"/>
        <v>0</v>
      </c>
      <c r="R261" s="41">
        <f t="shared" si="130"/>
        <v>810</v>
      </c>
      <c r="S261" s="188">
        <f t="shared" si="131"/>
        <v>840</v>
      </c>
      <c r="T261" s="170">
        <v>1</v>
      </c>
      <c r="U261" s="40">
        <f t="shared" si="132"/>
        <v>10</v>
      </c>
      <c r="V261" s="40">
        <f t="shared" si="133"/>
        <v>0</v>
      </c>
      <c r="W261" s="40">
        <f t="shared" si="134"/>
        <v>270</v>
      </c>
      <c r="X261" s="40">
        <f t="shared" si="135"/>
        <v>280</v>
      </c>
      <c r="Y261" s="40">
        <v>2</v>
      </c>
      <c r="Z261" s="40">
        <f t="shared" si="100"/>
        <v>560</v>
      </c>
      <c r="AA261" s="40">
        <f t="shared" si="136"/>
        <v>0</v>
      </c>
      <c r="AB261" s="43"/>
      <c r="AC261" s="43"/>
      <c r="AD261" s="43"/>
      <c r="AE261" s="43"/>
      <c r="AF261" s="43"/>
      <c r="AG261" s="43"/>
      <c r="AH261" s="43"/>
      <c r="AI261" s="43"/>
    </row>
    <row r="262" spans="1:35" s="16" customFormat="1" ht="15" customHeight="1">
      <c r="A262" s="70" t="s">
        <v>315</v>
      </c>
      <c r="B262" s="148" t="s">
        <v>260</v>
      </c>
      <c r="C262" s="107" t="s">
        <v>8</v>
      </c>
      <c r="D262" s="229">
        <f>+D261</f>
        <v>3</v>
      </c>
      <c r="E262" s="251" t="s">
        <v>315</v>
      </c>
      <c r="F262" s="148" t="s">
        <v>260</v>
      </c>
      <c r="G262" s="107" t="s">
        <v>8</v>
      </c>
      <c r="H262" s="229">
        <f>+H261</f>
        <v>3</v>
      </c>
      <c r="I262" s="218">
        <f>K262/J262</f>
        <v>6.8181818181818175</v>
      </c>
      <c r="J262" s="41">
        <v>2.2</v>
      </c>
      <c r="K262" s="34">
        <v>15</v>
      </c>
      <c r="L262" s="34"/>
      <c r="M262" s="34">
        <v>100</v>
      </c>
      <c r="N262" s="74">
        <f t="shared" si="126"/>
        <v>115</v>
      </c>
      <c r="O262" s="187">
        <f t="shared" si="127"/>
        <v>20.454545454545453</v>
      </c>
      <c r="P262" s="41">
        <f t="shared" si="128"/>
        <v>45</v>
      </c>
      <c r="Q262" s="41">
        <f t="shared" si="129"/>
        <v>0</v>
      </c>
      <c r="R262" s="41">
        <f t="shared" si="130"/>
        <v>300</v>
      </c>
      <c r="S262" s="188">
        <f t="shared" si="131"/>
        <v>345</v>
      </c>
      <c r="T262" s="170">
        <v>1</v>
      </c>
      <c r="U262" s="40">
        <f t="shared" si="132"/>
        <v>15</v>
      </c>
      <c r="V262" s="40">
        <f t="shared" si="133"/>
        <v>0</v>
      </c>
      <c r="W262" s="40">
        <f t="shared" si="134"/>
        <v>100</v>
      </c>
      <c r="X262" s="40">
        <f t="shared" si="135"/>
        <v>115</v>
      </c>
      <c r="Y262" s="40">
        <v>2</v>
      </c>
      <c r="Z262" s="40">
        <f t="shared" si="100"/>
        <v>230</v>
      </c>
      <c r="AA262" s="40">
        <f t="shared" si="136"/>
        <v>0</v>
      </c>
      <c r="AB262" s="43"/>
      <c r="AC262" s="43"/>
      <c r="AD262" s="43"/>
      <c r="AE262" s="43"/>
      <c r="AF262" s="43"/>
      <c r="AG262" s="43"/>
      <c r="AH262" s="43"/>
      <c r="AI262" s="43"/>
    </row>
    <row r="263" spans="1:35" s="16" customFormat="1" ht="15" customHeight="1">
      <c r="A263" s="70" t="s">
        <v>316</v>
      </c>
      <c r="B263" s="148" t="s">
        <v>261</v>
      </c>
      <c r="C263" s="107" t="s">
        <v>8</v>
      </c>
      <c r="D263" s="229">
        <v>1</v>
      </c>
      <c r="E263" s="251" t="s">
        <v>316</v>
      </c>
      <c r="F263" s="148" t="s">
        <v>261</v>
      </c>
      <c r="G263" s="107" t="s">
        <v>8</v>
      </c>
      <c r="H263" s="229">
        <v>1</v>
      </c>
      <c r="I263" s="216"/>
      <c r="J263" s="41"/>
      <c r="K263" s="41"/>
      <c r="L263" s="41"/>
      <c r="M263" s="41">
        <f>45*3</f>
        <v>135</v>
      </c>
      <c r="N263" s="74">
        <f t="shared" si="126"/>
        <v>135</v>
      </c>
      <c r="O263" s="187">
        <f t="shared" si="127"/>
        <v>0</v>
      </c>
      <c r="P263" s="41">
        <f t="shared" si="128"/>
        <v>0</v>
      </c>
      <c r="Q263" s="41">
        <f t="shared" si="129"/>
        <v>0</v>
      </c>
      <c r="R263" s="41">
        <f t="shared" si="130"/>
        <v>135</v>
      </c>
      <c r="S263" s="188">
        <f t="shared" si="131"/>
        <v>135</v>
      </c>
      <c r="T263" s="170">
        <v>0.25</v>
      </c>
      <c r="U263" s="40">
        <f t="shared" si="132"/>
        <v>0</v>
      </c>
      <c r="V263" s="40">
        <f t="shared" si="133"/>
        <v>0</v>
      </c>
      <c r="W263" s="40">
        <f t="shared" si="134"/>
        <v>33.75</v>
      </c>
      <c r="X263" s="40">
        <f t="shared" si="135"/>
        <v>33.75</v>
      </c>
      <c r="Y263" s="40">
        <v>0.5</v>
      </c>
      <c r="Z263" s="40">
        <f t="shared" si="100"/>
        <v>67.5</v>
      </c>
      <c r="AA263" s="40">
        <f t="shared" si="136"/>
        <v>33.75</v>
      </c>
      <c r="AB263" s="43"/>
      <c r="AC263" s="43"/>
      <c r="AD263" s="43"/>
      <c r="AE263" s="43"/>
      <c r="AF263" s="43"/>
      <c r="AG263" s="43"/>
      <c r="AH263" s="43"/>
      <c r="AI263" s="43"/>
    </row>
    <row r="264" spans="1:35" s="16" customFormat="1" ht="15" customHeight="1" thickBot="1">
      <c r="A264" s="124" t="s">
        <v>317</v>
      </c>
      <c r="B264" s="149" t="s">
        <v>112</v>
      </c>
      <c r="C264" s="207" t="s">
        <v>75</v>
      </c>
      <c r="D264" s="232">
        <v>1</v>
      </c>
      <c r="E264" s="257" t="s">
        <v>317</v>
      </c>
      <c r="F264" s="149" t="s">
        <v>467</v>
      </c>
      <c r="G264" s="207" t="s">
        <v>75</v>
      </c>
      <c r="H264" s="232">
        <v>1</v>
      </c>
      <c r="I264" s="223">
        <f>K264/J264</f>
        <v>68.18181818181817</v>
      </c>
      <c r="J264" s="50">
        <v>2.2</v>
      </c>
      <c r="K264" s="84">
        <v>150</v>
      </c>
      <c r="L264" s="84">
        <v>20</v>
      </c>
      <c r="M264" s="84">
        <v>30</v>
      </c>
      <c r="N264" s="74">
        <f t="shared" si="126"/>
        <v>200</v>
      </c>
      <c r="O264" s="187">
        <f t="shared" si="127"/>
        <v>68.18181818181817</v>
      </c>
      <c r="P264" s="41">
        <f t="shared" si="128"/>
        <v>150</v>
      </c>
      <c r="Q264" s="41">
        <f t="shared" si="129"/>
        <v>20</v>
      </c>
      <c r="R264" s="41">
        <f t="shared" si="130"/>
        <v>30</v>
      </c>
      <c r="S264" s="190">
        <f t="shared" si="131"/>
        <v>200</v>
      </c>
      <c r="T264" s="171">
        <v>0.25</v>
      </c>
      <c r="U264" s="40">
        <f t="shared" si="132"/>
        <v>37.5</v>
      </c>
      <c r="V264" s="40">
        <f t="shared" si="133"/>
        <v>5</v>
      </c>
      <c r="W264" s="40">
        <f t="shared" si="134"/>
        <v>7.5</v>
      </c>
      <c r="X264" s="40">
        <f t="shared" si="135"/>
        <v>50</v>
      </c>
      <c r="Y264" s="83">
        <v>0.5</v>
      </c>
      <c r="Z264" s="40">
        <f t="shared" si="100"/>
        <v>100</v>
      </c>
      <c r="AA264" s="40">
        <f t="shared" si="136"/>
        <v>50</v>
      </c>
      <c r="AB264" s="43"/>
      <c r="AC264" s="43"/>
      <c r="AD264" s="43"/>
      <c r="AE264" s="43"/>
      <c r="AF264" s="43"/>
      <c r="AG264" s="43"/>
      <c r="AH264" s="43"/>
      <c r="AI264" s="43"/>
    </row>
    <row r="265" spans="1:39" s="16" customFormat="1" ht="13.5" thickBot="1">
      <c r="A265" s="58"/>
      <c r="B265" s="150" t="s">
        <v>337</v>
      </c>
      <c r="C265" s="213"/>
      <c r="D265" s="268"/>
      <c r="E265" s="267"/>
      <c r="F265" s="150" t="s">
        <v>337</v>
      </c>
      <c r="G265" s="213"/>
      <c r="H265" s="245"/>
      <c r="I265" s="225"/>
      <c r="J265" s="152"/>
      <c r="K265" s="152"/>
      <c r="L265" s="152"/>
      <c r="M265" s="152"/>
      <c r="N265" s="167"/>
      <c r="O265" s="403">
        <f>SUM(O254:O264)</f>
        <v>335.4563636363636</v>
      </c>
      <c r="P265" s="280">
        <f>SUM(P254:P264)</f>
        <v>738</v>
      </c>
      <c r="Q265" s="280">
        <f>SUM(Q254:Q264)</f>
        <v>840</v>
      </c>
      <c r="R265" s="152">
        <f>SUM(R254:R264)</f>
        <v>1659</v>
      </c>
      <c r="S265" s="152">
        <f>SUM(S254:S264)</f>
        <v>3237</v>
      </c>
      <c r="T265" s="182"/>
      <c r="U265" s="145">
        <f>SUM(U258:U264)</f>
        <v>88.5</v>
      </c>
      <c r="V265" s="145">
        <f>SUM(V258:V264)</f>
        <v>5</v>
      </c>
      <c r="W265" s="145">
        <f>SUM(W258:W264)</f>
        <v>451.25</v>
      </c>
      <c r="X265" s="145">
        <f>SUM(X258:X264)</f>
        <v>544.75</v>
      </c>
      <c r="Y265" s="145"/>
      <c r="Z265" s="145">
        <f>SUM(Z258:Z264)</f>
        <v>1364</v>
      </c>
      <c r="AA265" s="152">
        <f>SUM(AA258:AA264)</f>
        <v>133.25</v>
      </c>
      <c r="AB265" s="43"/>
      <c r="AC265" s="43"/>
      <c r="AD265" s="43"/>
      <c r="AE265" s="43"/>
      <c r="AF265" s="43"/>
      <c r="AG265" s="43"/>
      <c r="AH265" s="43"/>
      <c r="AI265" s="43"/>
      <c r="AJ265" s="390"/>
      <c r="AM265" s="19"/>
    </row>
    <row r="266" spans="1:39" s="154" customFormat="1" ht="14.25" customHeight="1" thickBot="1">
      <c r="A266" s="293"/>
      <c r="B266" s="294" t="s">
        <v>338</v>
      </c>
      <c r="C266" s="295"/>
      <c r="D266" s="241"/>
      <c r="E266" s="296"/>
      <c r="F266" s="46"/>
      <c r="G266" s="160"/>
      <c r="H266" s="241"/>
      <c r="I266" s="223"/>
      <c r="J266" s="84"/>
      <c r="K266" s="84"/>
      <c r="L266" s="84"/>
      <c r="M266" s="84"/>
      <c r="N266" s="132"/>
      <c r="O266" s="404">
        <f>O265+O253+O235+O219+O203+O195+O183+O133+O106+O32</f>
        <v>12953.375409090908</v>
      </c>
      <c r="P266" s="167">
        <f>P265+P253+P235+P219+P203+P195+P183+P133+P106+P32</f>
        <v>28891.08</v>
      </c>
      <c r="Q266" s="151">
        <f>Q265+Q253+Q235+Q219+Q203+Q195+Q183+Q133+Q106+Q32</f>
        <v>49039.35294658405</v>
      </c>
      <c r="R266" s="281">
        <f>R265+R253+R235+R219+R203+R195+R183+R133+R106+R32</f>
        <v>7495.78</v>
      </c>
      <c r="S266" s="197">
        <f>S265+S253+S235+S219+S203+S195+S183+S133+S106+S32</f>
        <v>85426.21294658404</v>
      </c>
      <c r="T266" s="299"/>
      <c r="U266" s="126" t="e">
        <f>#REF!+#REF!+#REF!</f>
        <v>#REF!</v>
      </c>
      <c r="V266" s="126" t="e">
        <f>#REF!+#REF!+#REF!</f>
        <v>#REF!</v>
      </c>
      <c r="W266" s="126" t="e">
        <f>#REF!+#REF!+#REF!</f>
        <v>#REF!</v>
      </c>
      <c r="X266" s="126" t="e">
        <f>#REF!+#REF!+#REF!</f>
        <v>#REF!</v>
      </c>
      <c r="Y266" s="126"/>
      <c r="Z266" s="126" t="e">
        <f>#REF!+#REF!+#REF!+0.03</f>
        <v>#REF!</v>
      </c>
      <c r="AA266" s="126" t="e">
        <f>#REF!+#REF!+#REF!</f>
        <v>#REF!</v>
      </c>
      <c r="AM266" s="44"/>
    </row>
    <row r="267" spans="1:27" s="154" customFormat="1" ht="31.5" customHeight="1" thickBot="1">
      <c r="A267" s="293"/>
      <c r="B267" s="130" t="s">
        <v>339</v>
      </c>
      <c r="C267" s="300">
        <v>0.02</v>
      </c>
      <c r="D267" s="241"/>
      <c r="E267" s="296"/>
      <c r="F267" s="46"/>
      <c r="G267" s="160"/>
      <c r="H267" s="241"/>
      <c r="I267" s="266"/>
      <c r="J267" s="131"/>
      <c r="K267" s="131"/>
      <c r="L267" s="131"/>
      <c r="M267" s="131"/>
      <c r="N267" s="208"/>
      <c r="O267" s="370"/>
      <c r="P267" s="143"/>
      <c r="Q267" s="143">
        <f>Q266*0.02</f>
        <v>980.7870589316809</v>
      </c>
      <c r="R267" s="143"/>
      <c r="S267" s="301">
        <f>Q267</f>
        <v>980.7870589316809</v>
      </c>
      <c r="T267" s="183"/>
      <c r="U267" s="153"/>
      <c r="V267" s="153" t="e">
        <f>V266*0.02</f>
        <v>#REF!</v>
      </c>
      <c r="W267" s="153"/>
      <c r="X267" s="145" t="e">
        <f>U267+V267+W267</f>
        <v>#REF!</v>
      </c>
      <c r="Y267" s="153"/>
      <c r="Z267" s="145">
        <v>631.96</v>
      </c>
      <c r="AA267" s="145" t="e">
        <f aca="true" t="shared" si="137" ref="AA267:AA272">S267-X267-Z267</f>
        <v>#REF!</v>
      </c>
    </row>
    <row r="268" spans="1:27" s="154" customFormat="1" ht="14.25" customHeight="1">
      <c r="A268" s="48"/>
      <c r="B268" s="135" t="s">
        <v>340</v>
      </c>
      <c r="C268" s="302"/>
      <c r="D268" s="234"/>
      <c r="E268" s="303"/>
      <c r="F268" s="49"/>
      <c r="G268" s="159"/>
      <c r="H268" s="234"/>
      <c r="I268" s="304"/>
      <c r="J268" s="91"/>
      <c r="K268" s="91"/>
      <c r="L268" s="91"/>
      <c r="M268" s="91"/>
      <c r="N268" s="201"/>
      <c r="O268" s="305">
        <f>O266+O267</f>
        <v>12953.375409090908</v>
      </c>
      <c r="P268" s="87">
        <f>P266+P267</f>
        <v>28891.08</v>
      </c>
      <c r="Q268" s="87">
        <f>Q266+Q267</f>
        <v>50020.14000551573</v>
      </c>
      <c r="R268" s="87">
        <f>R266+R267</f>
        <v>7495.78</v>
      </c>
      <c r="S268" s="306">
        <f>S266+S267</f>
        <v>86407.00000551573</v>
      </c>
      <c r="T268" s="307"/>
      <c r="U268" s="106" t="e">
        <f>U266+U267</f>
        <v>#REF!</v>
      </c>
      <c r="V268" s="106" t="e">
        <f>V266+V267</f>
        <v>#REF!</v>
      </c>
      <c r="W268" s="106" t="e">
        <f>W266+W267</f>
        <v>#REF!</v>
      </c>
      <c r="X268" s="106" t="e">
        <f>X266+X267</f>
        <v>#REF!</v>
      </c>
      <c r="Y268" s="308"/>
      <c r="Z268" s="106" t="e">
        <f>Z266+Z267+0.01</f>
        <v>#REF!</v>
      </c>
      <c r="AA268" s="86" t="e">
        <f>S268-X268-Z268-0.01</f>
        <v>#REF!</v>
      </c>
    </row>
    <row r="269" spans="1:27" s="154" customFormat="1" ht="14.25" customHeight="1">
      <c r="A269" s="309"/>
      <c r="B269" s="79" t="s">
        <v>341</v>
      </c>
      <c r="C269" s="310">
        <v>0.05</v>
      </c>
      <c r="D269" s="230"/>
      <c r="E269" s="311"/>
      <c r="F269" s="45"/>
      <c r="G269" s="158"/>
      <c r="H269" s="230"/>
      <c r="I269" s="221"/>
      <c r="J269" s="33"/>
      <c r="K269" s="33"/>
      <c r="L269" s="33"/>
      <c r="M269" s="33"/>
      <c r="N269" s="109"/>
      <c r="O269" s="312"/>
      <c r="P269" s="34">
        <f>P268*0.05</f>
        <v>1444.554</v>
      </c>
      <c r="Q269" s="34">
        <f>Q268*0.05</f>
        <v>2501.0070002757866</v>
      </c>
      <c r="R269" s="34">
        <f>R268*0.05</f>
        <v>374.789</v>
      </c>
      <c r="S269" s="34">
        <f>S268*0.05</f>
        <v>4320.350000275786</v>
      </c>
      <c r="T269" s="314"/>
      <c r="U269" s="98" t="e">
        <f>ROUND(U268*0.05,2)</f>
        <v>#REF!</v>
      </c>
      <c r="V269" s="98" t="e">
        <f>ROUND(V268*0.05,2)</f>
        <v>#REF!</v>
      </c>
      <c r="W269" s="98" t="e">
        <f>ROUND(W268*0.05,2)</f>
        <v>#REF!</v>
      </c>
      <c r="X269" s="98" t="e">
        <f>ROUND(X268*0.05,2)</f>
        <v>#REF!</v>
      </c>
      <c r="Y269" s="98"/>
      <c r="Z269" s="98" t="e">
        <f>ROUND(Z268*0.05,2)</f>
        <v>#REF!</v>
      </c>
      <c r="AA269" s="40" t="e">
        <f t="shared" si="137"/>
        <v>#REF!</v>
      </c>
    </row>
    <row r="270" spans="1:27" s="154" customFormat="1" ht="14.25" customHeight="1">
      <c r="A270" s="309"/>
      <c r="B270" s="157" t="s">
        <v>342</v>
      </c>
      <c r="C270" s="315">
        <v>0.015</v>
      </c>
      <c r="D270" s="230"/>
      <c r="E270" s="311"/>
      <c r="F270" s="45"/>
      <c r="G270" s="158"/>
      <c r="H270" s="230"/>
      <c r="I270" s="221"/>
      <c r="J270" s="33"/>
      <c r="K270" s="33"/>
      <c r="L270" s="33"/>
      <c r="M270" s="33"/>
      <c r="N270" s="109"/>
      <c r="O270" s="312"/>
      <c r="P270" s="34">
        <f>P268*0.015</f>
        <v>433.3662</v>
      </c>
      <c r="Q270" s="34">
        <f>Q268*0.015</f>
        <v>750.3021000827359</v>
      </c>
      <c r="R270" s="34">
        <f>R268*0.015</f>
        <v>112.43669999999999</v>
      </c>
      <c r="S270" s="34">
        <f>S268*0.015</f>
        <v>1296.1050000827358</v>
      </c>
      <c r="T270" s="314"/>
      <c r="U270" s="98" t="e">
        <f>ROUND(U268*0.015,2)</f>
        <v>#REF!</v>
      </c>
      <c r="V270" s="98" t="e">
        <f>ROUND(V268*0.015,2)</f>
        <v>#REF!</v>
      </c>
      <c r="W270" s="98" t="e">
        <f>ROUND(W268*0.015,2)</f>
        <v>#REF!</v>
      </c>
      <c r="X270" s="98" t="e">
        <f>ROUND(X268*0.015,2)</f>
        <v>#REF!</v>
      </c>
      <c r="Y270" s="98"/>
      <c r="Z270" s="98" t="e">
        <f>Z268*0.015</f>
        <v>#REF!</v>
      </c>
      <c r="AA270" s="40" t="e">
        <f t="shared" si="137"/>
        <v>#REF!</v>
      </c>
    </row>
    <row r="271" spans="1:27" s="154" customFormat="1" ht="14.25" customHeight="1" thickBot="1">
      <c r="A271" s="293"/>
      <c r="B271" s="316" t="s">
        <v>343</v>
      </c>
      <c r="C271" s="317">
        <v>0.2409</v>
      </c>
      <c r="D271" s="241"/>
      <c r="E271" s="296"/>
      <c r="F271" s="46"/>
      <c r="G271" s="160"/>
      <c r="H271" s="241"/>
      <c r="I271" s="266"/>
      <c r="J271" s="131"/>
      <c r="K271" s="131"/>
      <c r="L271" s="131"/>
      <c r="M271" s="131"/>
      <c r="N271" s="208"/>
      <c r="O271" s="297"/>
      <c r="P271" s="84">
        <f>P268*0.2409</f>
        <v>6959.861172000001</v>
      </c>
      <c r="Q271" s="84"/>
      <c r="R271" s="84"/>
      <c r="S271" s="298">
        <f>P271</f>
        <v>6959.861172000001</v>
      </c>
      <c r="T271" s="183"/>
      <c r="U271" s="126" t="e">
        <f>U268*0.2409</f>
        <v>#REF!</v>
      </c>
      <c r="V271" s="126"/>
      <c r="W271" s="126"/>
      <c r="X271" s="126" t="e">
        <f>U271</f>
        <v>#REF!</v>
      </c>
      <c r="Y271" s="153"/>
      <c r="Z271" s="126">
        <v>4268.97</v>
      </c>
      <c r="AA271" s="83" t="e">
        <f t="shared" si="137"/>
        <v>#REF!</v>
      </c>
    </row>
    <row r="272" spans="1:39" s="154" customFormat="1" ht="14.25" customHeight="1" thickBot="1">
      <c r="A272" s="48"/>
      <c r="B272" s="47" t="s">
        <v>336</v>
      </c>
      <c r="C272" s="302"/>
      <c r="D272" s="234"/>
      <c r="E272" s="303"/>
      <c r="F272" s="49"/>
      <c r="G272" s="159"/>
      <c r="H272" s="234"/>
      <c r="I272" s="304"/>
      <c r="J272" s="91"/>
      <c r="K272" s="91"/>
      <c r="L272" s="91"/>
      <c r="M272" s="91"/>
      <c r="N272" s="201"/>
      <c r="O272" s="305"/>
      <c r="P272" s="87">
        <f>P268+P269+P270+P271</f>
        <v>37728.861372</v>
      </c>
      <c r="Q272" s="87">
        <f>Q268+Q269+Q270+Q271</f>
        <v>53271.44910587425</v>
      </c>
      <c r="R272" s="87">
        <f>R268+R269+R270+R271</f>
        <v>7983.0057</v>
      </c>
      <c r="S272" s="306">
        <f>S268+S269+S270+S271</f>
        <v>98983.31617787427</v>
      </c>
      <c r="T272" s="183"/>
      <c r="U272" s="106" t="e">
        <f>U268+U269+U270+U271</f>
        <v>#REF!</v>
      </c>
      <c r="V272" s="106" t="e">
        <f>V268+V269+V270+V271</f>
        <v>#REF!</v>
      </c>
      <c r="W272" s="106" t="e">
        <f>W268+W269+W270+W271</f>
        <v>#REF!</v>
      </c>
      <c r="X272" s="106" t="e">
        <f>X268+X269+X270+X271</f>
        <v>#REF!</v>
      </c>
      <c r="Y272" s="153"/>
      <c r="Z272" s="106" t="e">
        <f>Z268+Z269+Z270+Z271+0.02</f>
        <v>#REF!</v>
      </c>
      <c r="AA272" s="145" t="e">
        <f t="shared" si="137"/>
        <v>#REF!</v>
      </c>
      <c r="AB272" s="44"/>
      <c r="AM272" s="44"/>
    </row>
    <row r="273" spans="1:27" s="333" customFormat="1" ht="12.75">
      <c r="A273" s="318"/>
      <c r="B273" s="55" t="s">
        <v>350</v>
      </c>
      <c r="C273" s="319"/>
      <c r="D273" s="320"/>
      <c r="E273" s="321"/>
      <c r="F273" s="322"/>
      <c r="G273" s="319"/>
      <c r="H273" s="323"/>
      <c r="I273" s="324"/>
      <c r="J273" s="325"/>
      <c r="K273" s="325"/>
      <c r="L273" s="325"/>
      <c r="M273" s="325"/>
      <c r="N273" s="326"/>
      <c r="O273" s="327"/>
      <c r="P273" s="325"/>
      <c r="Q273" s="325"/>
      <c r="R273" s="325"/>
      <c r="S273" s="328"/>
      <c r="T273" s="329"/>
      <c r="U273" s="330"/>
      <c r="V273" s="330"/>
      <c r="W273" s="331"/>
      <c r="X273" s="325"/>
      <c r="Y273" s="330"/>
      <c r="Z273" s="330"/>
      <c r="AA273" s="332"/>
    </row>
    <row r="274" spans="1:27" s="333" customFormat="1" ht="12.75">
      <c r="A274" s="334"/>
      <c r="B274" s="32" t="s">
        <v>351</v>
      </c>
      <c r="C274" s="335"/>
      <c r="D274" s="336"/>
      <c r="E274" s="337"/>
      <c r="F274" s="338"/>
      <c r="G274" s="335"/>
      <c r="H274" s="339"/>
      <c r="I274" s="340"/>
      <c r="J274" s="341"/>
      <c r="K274" s="341"/>
      <c r="L274" s="341"/>
      <c r="M274" s="341"/>
      <c r="N274" s="342"/>
      <c r="O274" s="343"/>
      <c r="P274" s="341"/>
      <c r="Q274" s="341"/>
      <c r="R274" s="41">
        <v>530</v>
      </c>
      <c r="S274" s="188">
        <v>530</v>
      </c>
      <c r="T274" s="344"/>
      <c r="U274" s="345"/>
      <c r="V274" s="345"/>
      <c r="W274" s="345"/>
      <c r="X274" s="341"/>
      <c r="Y274" s="345"/>
      <c r="Z274" s="341">
        <v>530</v>
      </c>
      <c r="AA274" s="155">
        <f>S274-X274-Z274</f>
        <v>0</v>
      </c>
    </row>
    <row r="275" spans="1:27" s="333" customFormat="1" ht="13.5" thickBot="1">
      <c r="A275" s="346"/>
      <c r="B275" s="347" t="s">
        <v>352</v>
      </c>
      <c r="C275" s="348"/>
      <c r="D275" s="349"/>
      <c r="E275" s="350"/>
      <c r="F275" s="351"/>
      <c r="G275" s="348"/>
      <c r="H275" s="352"/>
      <c r="I275" s="353"/>
      <c r="J275" s="354"/>
      <c r="K275" s="354"/>
      <c r="L275" s="354"/>
      <c r="M275" s="354"/>
      <c r="N275" s="355"/>
      <c r="O275" s="356"/>
      <c r="P275" s="354"/>
      <c r="Q275" s="354"/>
      <c r="R275" s="144">
        <v>175</v>
      </c>
      <c r="S275" s="292">
        <v>175</v>
      </c>
      <c r="T275" s="357"/>
      <c r="U275" s="358"/>
      <c r="V275" s="358"/>
      <c r="W275" s="358"/>
      <c r="X275" s="354"/>
      <c r="Y275" s="358"/>
      <c r="Z275" s="354">
        <v>175</v>
      </c>
      <c r="AA275" s="359">
        <f>S275-X275-Z275</f>
        <v>0</v>
      </c>
    </row>
    <row r="276" spans="1:27" s="43" customFormat="1" ht="13.5" thickBot="1">
      <c r="A276" s="56"/>
      <c r="B276" s="360" t="s">
        <v>336</v>
      </c>
      <c r="C276" s="361"/>
      <c r="D276" s="362"/>
      <c r="E276" s="363"/>
      <c r="F276" s="364"/>
      <c r="G276" s="361"/>
      <c r="H276" s="365"/>
      <c r="I276" s="366"/>
      <c r="J276" s="144"/>
      <c r="K276" s="144"/>
      <c r="L276" s="144"/>
      <c r="M276" s="144"/>
      <c r="N276" s="166"/>
      <c r="O276" s="195"/>
      <c r="P276" s="144"/>
      <c r="Q276" s="144"/>
      <c r="R276" s="144">
        <f>R274+R275</f>
        <v>705</v>
      </c>
      <c r="S276" s="292">
        <f>S274+S275</f>
        <v>705</v>
      </c>
      <c r="T276" s="367"/>
      <c r="U276" s="142"/>
      <c r="V276" s="142"/>
      <c r="W276" s="142"/>
      <c r="X276" s="144"/>
      <c r="Y276" s="142"/>
      <c r="Z276" s="368">
        <f>SUM(Z274:Z275)</f>
        <v>705</v>
      </c>
      <c r="AA276" s="145">
        <f>S276-X276-Z276</f>
        <v>0</v>
      </c>
    </row>
    <row r="277" spans="1:39" s="154" customFormat="1" ht="14.25" customHeight="1" thickBot="1">
      <c r="A277" s="48"/>
      <c r="B277" s="47" t="s">
        <v>443</v>
      </c>
      <c r="C277" s="302"/>
      <c r="D277" s="369"/>
      <c r="E277" s="303"/>
      <c r="F277" s="49"/>
      <c r="G277" s="159"/>
      <c r="H277" s="369"/>
      <c r="I277" s="304"/>
      <c r="J277" s="91"/>
      <c r="K277" s="91"/>
      <c r="L277" s="91"/>
      <c r="M277" s="91"/>
      <c r="N277" s="201"/>
      <c r="O277" s="370"/>
      <c r="P277" s="143">
        <f>P272+P276</f>
        <v>37728.861372</v>
      </c>
      <c r="Q277" s="143">
        <f>Q272+Q276</f>
        <v>53271.44910587425</v>
      </c>
      <c r="R277" s="143">
        <f>R272+R276</f>
        <v>8688.0057</v>
      </c>
      <c r="S277" s="301">
        <f>S272+S276</f>
        <v>99688.31617787427</v>
      </c>
      <c r="T277" s="371"/>
      <c r="U277" s="106"/>
      <c r="V277" s="106"/>
      <c r="W277" s="106"/>
      <c r="X277" s="106" t="e">
        <f>X272</f>
        <v>#REF!</v>
      </c>
      <c r="Y277" s="106"/>
      <c r="Z277" s="106" t="e">
        <f>Z272+Z276</f>
        <v>#REF!</v>
      </c>
      <c r="AA277" s="86" t="e">
        <f>S277-X277-Z277</f>
        <v>#REF!</v>
      </c>
      <c r="AM277" s="44"/>
    </row>
    <row r="278" spans="1:19" s="16" customFormat="1" ht="12.75">
      <c r="A278" s="22"/>
      <c r="B278" s="23"/>
      <c r="C278" s="22"/>
      <c r="D278" s="27"/>
      <c r="E278" s="24"/>
      <c r="F278" s="24"/>
      <c r="G278" s="24"/>
      <c r="H278" s="24"/>
      <c r="I278" s="25"/>
      <c r="J278" s="25"/>
      <c r="K278" s="25"/>
      <c r="L278" s="25"/>
      <c r="M278" s="25"/>
      <c r="N278" s="26"/>
      <c r="O278" s="27"/>
      <c r="P278" s="27"/>
      <c r="Q278" s="27"/>
      <c r="R278" s="27"/>
      <c r="S278" s="27"/>
    </row>
    <row r="279" spans="1:19" s="16" customFormat="1" ht="12.75">
      <c r="A279" s="22"/>
      <c r="B279" s="23"/>
      <c r="C279" s="22"/>
      <c r="D279" s="27"/>
      <c r="E279" s="24"/>
      <c r="F279" s="24"/>
      <c r="G279" s="24"/>
      <c r="H279" s="24"/>
      <c r="I279" s="25"/>
      <c r="J279" s="25"/>
      <c r="K279" s="25"/>
      <c r="L279" s="25"/>
      <c r="M279" s="25"/>
      <c r="N279" s="26"/>
      <c r="O279" s="27"/>
      <c r="P279" s="27"/>
      <c r="Q279" s="27"/>
      <c r="R279" s="27"/>
      <c r="S279" s="27"/>
    </row>
    <row r="280" spans="1:20" s="16" customFormat="1" ht="12.75">
      <c r="A280" s="3"/>
      <c r="B280" s="4"/>
      <c r="D280" s="290"/>
      <c r="G280" s="3" t="s">
        <v>355</v>
      </c>
      <c r="R280" s="3"/>
      <c r="S280" s="3"/>
      <c r="T280" s="4"/>
    </row>
    <row r="281" spans="1:20" s="16" customFormat="1" ht="12.75">
      <c r="A281" s="3" t="s">
        <v>354</v>
      </c>
      <c r="B281" s="4"/>
      <c r="D281" s="290"/>
      <c r="G281" s="5" t="s">
        <v>357</v>
      </c>
      <c r="S281" s="4"/>
      <c r="T281" s="4"/>
    </row>
    <row r="282" spans="1:20" s="16" customFormat="1" ht="12.75">
      <c r="A282" s="5" t="s">
        <v>356</v>
      </c>
      <c r="B282" s="4"/>
      <c r="D282" s="290"/>
      <c r="G282" s="5" t="s">
        <v>358</v>
      </c>
      <c r="S282" s="4"/>
      <c r="T282" s="4"/>
    </row>
    <row r="283" spans="1:20" s="16" customFormat="1" ht="12.75">
      <c r="A283" s="5" t="s">
        <v>373</v>
      </c>
      <c r="B283" s="4"/>
      <c r="D283" s="290"/>
      <c r="G283" s="5" t="s">
        <v>402</v>
      </c>
      <c r="S283" s="4"/>
      <c r="T283" s="4"/>
    </row>
    <row r="284" spans="1:20" s="16" customFormat="1" ht="12.75">
      <c r="A284" s="5" t="s">
        <v>359</v>
      </c>
      <c r="B284" s="4"/>
      <c r="D284" s="290"/>
      <c r="S284" s="4"/>
      <c r="T284" s="4" t="s">
        <v>360</v>
      </c>
    </row>
    <row r="286" spans="1:32" s="2" customFormat="1" ht="12.75">
      <c r="A286" s="29"/>
      <c r="B286" s="479" t="s">
        <v>481</v>
      </c>
      <c r="C286" s="479"/>
      <c r="D286" s="480"/>
      <c r="E286" s="480"/>
      <c r="F286" s="481"/>
      <c r="G286" s="481"/>
      <c r="H286" s="462"/>
      <c r="I286" s="20" t="s">
        <v>482</v>
      </c>
      <c r="M286" s="475"/>
      <c r="N286" s="475"/>
      <c r="O286" s="462"/>
      <c r="P286" s="462"/>
      <c r="Q286" s="462"/>
      <c r="R286" s="462"/>
      <c r="S286" s="462"/>
      <c r="U286" s="479" t="s">
        <v>483</v>
      </c>
      <c r="V286" s="479"/>
      <c r="W286" s="479"/>
      <c r="AC286" s="1"/>
      <c r="AD286" s="1"/>
      <c r="AE286" s="1"/>
      <c r="AF286" s="1"/>
    </row>
  </sheetData>
  <sheetProtection/>
  <mergeCells count="38">
    <mergeCell ref="AJ160:AJ162"/>
    <mergeCell ref="L12:L13"/>
    <mergeCell ref="T11:X11"/>
    <mergeCell ref="R12:R13"/>
    <mergeCell ref="S12:S13"/>
    <mergeCell ref="AA11:AA13"/>
    <mergeCell ref="T12:T13"/>
    <mergeCell ref="I11:N11"/>
    <mergeCell ref="O12:O13"/>
    <mergeCell ref="I12:I13"/>
    <mergeCell ref="E11:E13"/>
    <mergeCell ref="F11:F13"/>
    <mergeCell ref="G11:G13"/>
    <mergeCell ref="H11:H13"/>
    <mergeCell ref="A11:A13"/>
    <mergeCell ref="D11:D13"/>
    <mergeCell ref="C11:C13"/>
    <mergeCell ref="B11:B13"/>
    <mergeCell ref="O11:S11"/>
    <mergeCell ref="Q12:Q13"/>
    <mergeCell ref="J12:J13"/>
    <mergeCell ref="K12:K13"/>
    <mergeCell ref="P12:P13"/>
    <mergeCell ref="M12:M13"/>
    <mergeCell ref="N12:N13"/>
    <mergeCell ref="A1:S1"/>
    <mergeCell ref="R7:S7"/>
    <mergeCell ref="R6:S6"/>
    <mergeCell ref="B7:O7"/>
    <mergeCell ref="A2:S2"/>
    <mergeCell ref="B5:O5"/>
    <mergeCell ref="Y12:Y13"/>
    <mergeCell ref="Y11:Z11"/>
    <mergeCell ref="Z12:Z13"/>
    <mergeCell ref="U12:U13"/>
    <mergeCell ref="V12:V13"/>
    <mergeCell ref="W12:W13"/>
    <mergeCell ref="X12:X13"/>
  </mergeCells>
  <conditionalFormatting sqref="C13:C14 G13">
    <cfRule type="expression" priority="1" dxfId="0" stopIfTrue="1">
      <formula>#REF!=""</formula>
    </cfRule>
  </conditionalFormatting>
  <hyperlinks>
    <hyperlink ref="B220" r:id="rId1" tooltip="Watt" display="http://en.wikipedia.org/wiki/Watt"/>
    <hyperlink ref="A254" r:id="rId2" tooltip="Watt" display="http://en.wikipedia.org/wiki/Watt"/>
    <hyperlink ref="B254" r:id="rId3" tooltip="Watt" display="http://en.wikipedia.org/wiki/Watt"/>
    <hyperlink ref="A256" r:id="rId4" tooltip="Watt" display="http://en.wikipedia.org/wiki/Watt"/>
    <hyperlink ref="B256" r:id="rId5" tooltip="Watt" display="http://en.wikipedia.org/wiki/Watt"/>
    <hyperlink ref="F220" r:id="rId6" tooltip="Watt" display="http://en.wikipedia.org/wiki/Watt"/>
    <hyperlink ref="F254" r:id="rId7" tooltip="Watt" display="http://en.wikipedia.org/wiki/Watt"/>
    <hyperlink ref="E256" r:id="rId8" tooltip="Watt" display="http://en.wikipedia.org/wiki/Watt"/>
    <hyperlink ref="F256" r:id="rId9" tooltip="Watt" display="http://en.wikipedia.org/wiki/Watt"/>
  </hyperlinks>
  <printOptions/>
  <pageMargins left="0.17" right="0.16" top="0.48" bottom="1" header="0.3" footer="0.5"/>
  <pageSetup horizontalDpi="600" verticalDpi="600" orientation="landscape" paperSize="9" scale="95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User</cp:lastModifiedBy>
  <cp:lastPrinted>2013-08-13T06:00:33Z</cp:lastPrinted>
  <dcterms:created xsi:type="dcterms:W3CDTF">2010-03-23T14:19:31Z</dcterms:created>
  <dcterms:modified xsi:type="dcterms:W3CDTF">2013-08-13T06:00:37Z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